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AnnevanLaere\Downloads\"/>
    </mc:Choice>
  </mc:AlternateContent>
  <xr:revisionPtr revIDLastSave="0" documentId="8_{54904DF9-D7D4-40DB-9728-8CCA36FC0D79}" xr6:coauthVersionLast="47" xr6:coauthVersionMax="47" xr10:uidLastSave="{00000000-0000-0000-0000-000000000000}"/>
  <workbookProtection workbookAlgorithmName="SHA-512" workbookHashValue="JiJ81Ph2pmbv6WhhMAJwAHesE3MpRqRzYAxZA4aRYFuIdH86n1N66AI+/DHfqKCbn360Vnf3y5E9PckvvqDJ/A==" workbookSaltValue="CYhow50MYmoZP/eSEhtgKg==" workbookSpinCount="100000" lockStructure="1"/>
  <bookViews>
    <workbookView showHorizontalScroll="0" xWindow="28680" yWindow="-1770" windowWidth="29040" windowHeight="15840" xr2:uid="{00000000-000D-0000-FFFF-FFFF00000000}"/>
  </bookViews>
  <sheets>
    <sheet name="Controleberekening" sheetId="1" r:id="rId1"/>
    <sheet name="----------  VOORBEELD ---------" sheetId="6" r:id="rId2"/>
  </sheets>
  <definedNames>
    <definedName name="_xlnm.Print_Area" localSheetId="1">'----------  VOORBEELD ---------'!$A$1:$X$74</definedName>
    <definedName name="_xlnm.Print_Area" localSheetId="0">Controleberekening!$A$1:$L$58</definedName>
    <definedName name="Z_39C96C24_7A5F_4ECF_8D06_89B34D5E48BC_.wvu.Cols" localSheetId="0" hidden="1">Controleberekening!$I:$I</definedName>
    <definedName name="Z_E41257D4_1C6D_4565_9093_7381ACF1CC6C_.wvu.Cols" localSheetId="0" hidden="1">Controleberekening!$I:$I</definedName>
  </definedNames>
  <calcPr calcId="191029"/>
  <customWorkbookViews>
    <customWorkbookView name="Wouter Van Aken - Persoonlijke weergave" guid="{E41257D4-1C6D-4565-9093-7381ACF1CC6C}" mergeInterval="0" personalView="1" maximized="1" showHorizontalScroll="0" windowWidth="1440" windowHeight="694" activeSheetId="1"/>
    <customWorkbookView name="BRUWVA - Persoonlijke weergave" guid="{39C96C24-7A5F-4ECF-8D06-89B34D5E48BC}" mergeInterval="0" personalView="1" maximized="1" showHorizontalScroll="0" xWindow="1" yWindow="1" windowWidth="1440" windowHeight="709" activeSheetId="1"/>
    <customWorkbookView name="NEC Computers International - Personal View" guid="{C86B9E38-76F9-4251-BB06-D2AB8DF992DF}" mergeInterval="0" personalView="1" maximized="1" windowWidth="1011" windowHeight="621" activeSheetId="1"/>
  </customWorkbookViews>
  <webPublishObjects count="1">
    <webPublishObject id="32462" divId="online test_32462" destinationFile="C:\Documents and Settings\Wouter\Bureaublad\Page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15" i="1"/>
  <c r="E16" i="1"/>
  <c r="E17" i="1"/>
  <c r="E18" i="1"/>
  <c r="E19" i="1"/>
  <c r="E20" i="1"/>
  <c r="E21" i="1"/>
  <c r="E22" i="1"/>
  <c r="E23" i="1"/>
  <c r="E24" i="1"/>
  <c r="E25" i="1"/>
  <c r="E14" i="1"/>
  <c r="E13" i="1"/>
  <c r="E11" i="1" l="1"/>
  <c r="E9" i="1"/>
  <c r="B9" i="1"/>
  <c r="F15" i="1" l="1"/>
  <c r="F30" i="1"/>
  <c r="F41" i="1"/>
  <c r="F31" i="1"/>
  <c r="F32" i="1"/>
  <c r="F33" i="1"/>
  <c r="F34" i="1"/>
  <c r="F35" i="1"/>
  <c r="F36" i="1"/>
  <c r="F37" i="1"/>
  <c r="F38" i="1"/>
  <c r="F39" i="1"/>
  <c r="F40" i="1"/>
  <c r="F29" i="1"/>
  <c r="C77" i="1"/>
  <c r="C76" i="1"/>
  <c r="C78" i="1"/>
  <c r="C79" i="1"/>
  <c r="C80" i="1"/>
  <c r="C75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J10" i="1" l="1"/>
  <c r="H12" i="1"/>
  <c r="G13" i="1"/>
  <c r="J16" i="1"/>
  <c r="G22" i="1"/>
  <c r="H22" i="1"/>
  <c r="H19" i="1"/>
  <c r="J19" i="1"/>
  <c r="K16" i="1"/>
  <c r="K13" i="1"/>
  <c r="L13" i="1"/>
  <c r="K7" i="1"/>
  <c r="J7" i="1"/>
  <c r="H7" i="1"/>
  <c r="G7" i="1"/>
  <c r="L7" i="1"/>
  <c r="K11" i="1"/>
  <c r="K9" i="1"/>
  <c r="J9" i="1"/>
  <c r="H9" i="1"/>
  <c r="J14" i="1"/>
  <c r="H17" i="1"/>
  <c r="G20" i="1"/>
  <c r="G9" i="1"/>
  <c r="F9" i="1"/>
  <c r="H29" i="1" l="1"/>
  <c r="H30" i="1"/>
  <c r="H31" i="1"/>
  <c r="H32" i="1"/>
  <c r="H33" i="1"/>
  <c r="H34" i="1"/>
  <c r="H35" i="1"/>
  <c r="H36" i="1"/>
  <c r="H37" i="1"/>
  <c r="H38" i="1"/>
  <c r="H39" i="1"/>
  <c r="H40" i="1"/>
  <c r="H41" i="1"/>
  <c r="G48" i="1"/>
  <c r="E31" i="1" s="1"/>
  <c r="L31" i="1" s="1"/>
  <c r="H48" i="1"/>
  <c r="J30" i="1" l="1"/>
  <c r="J34" i="1"/>
  <c r="J38" i="1"/>
  <c r="J29" i="1"/>
  <c r="J31" i="1"/>
  <c r="J32" i="1"/>
  <c r="J36" i="1"/>
  <c r="J40" i="1"/>
  <c r="J35" i="1"/>
  <c r="J33" i="1"/>
  <c r="J37" i="1"/>
  <c r="J41" i="1"/>
  <c r="J39" i="1"/>
  <c r="G31" i="1"/>
  <c r="K31" i="1" s="1"/>
  <c r="E38" i="1"/>
  <c r="L38" i="1" s="1"/>
  <c r="E34" i="1"/>
  <c r="L34" i="1" s="1"/>
  <c r="E30" i="1"/>
  <c r="E41" i="1"/>
  <c r="L41" i="1" s="1"/>
  <c r="E37" i="1"/>
  <c r="L37" i="1" s="1"/>
  <c r="E33" i="1"/>
  <c r="E29" i="1"/>
  <c r="L29" i="1" s="1"/>
  <c r="E40" i="1"/>
  <c r="L40" i="1" s="1"/>
  <c r="E36" i="1"/>
  <c r="E32" i="1"/>
  <c r="E39" i="1"/>
  <c r="E35" i="1"/>
  <c r="L35" i="1" s="1"/>
  <c r="G36" i="1" l="1"/>
  <c r="K36" i="1" s="1"/>
  <c r="L36" i="1"/>
  <c r="G33" i="1"/>
  <c r="K33" i="1" s="1"/>
  <c r="L33" i="1"/>
  <c r="G39" i="1"/>
  <c r="K39" i="1" s="1"/>
  <c r="L39" i="1"/>
  <c r="G30" i="1"/>
  <c r="K30" i="1" s="1"/>
  <c r="L30" i="1"/>
  <c r="G32" i="1"/>
  <c r="K32" i="1" s="1"/>
  <c r="L32" i="1"/>
  <c r="G40" i="1"/>
  <c r="K40" i="1" s="1"/>
  <c r="G37" i="1"/>
  <c r="K37" i="1" s="1"/>
  <c r="G34" i="1"/>
  <c r="K34" i="1" s="1"/>
  <c r="G35" i="1"/>
  <c r="K35" i="1" s="1"/>
  <c r="G41" i="1"/>
  <c r="K41" i="1" s="1"/>
  <c r="G29" i="1"/>
  <c r="K29" i="1" s="1"/>
  <c r="G38" i="1"/>
  <c r="K38" i="1" s="1"/>
  <c r="L25" i="1" l="1"/>
  <c r="D19" i="1"/>
  <c r="C19" i="1" s="1"/>
  <c r="D24" i="1"/>
  <c r="C24" i="1" s="1"/>
  <c r="D17" i="1"/>
  <c r="C17" i="1" s="1"/>
  <c r="D14" i="1"/>
  <c r="C14" i="1" s="1"/>
  <c r="D20" i="1"/>
  <c r="C20" i="1" s="1"/>
  <c r="D21" i="1"/>
  <c r="C21" i="1" s="1"/>
  <c r="D23" i="1"/>
  <c r="C23" i="1" s="1"/>
  <c r="D16" i="1"/>
  <c r="C16" i="1" s="1"/>
  <c r="D22" i="1"/>
  <c r="C22" i="1" s="1"/>
  <c r="D15" i="1"/>
  <c r="C15" i="1" s="1"/>
  <c r="D18" i="1"/>
  <c r="C18" i="1" s="1"/>
  <c r="D13" i="1"/>
  <c r="C13" i="1" s="1"/>
  <c r="D25" i="1"/>
  <c r="C25" i="1" s="1"/>
</calcChain>
</file>

<file path=xl/sharedStrings.xml><?xml version="1.0" encoding="utf-8"?>
<sst xmlns="http://schemas.openxmlformats.org/spreadsheetml/2006/main" count="343" uniqueCount="199">
  <si>
    <t>AB</t>
  </si>
  <si>
    <t>BC</t>
  </si>
  <si>
    <t>CD</t>
  </si>
  <si>
    <t>BE</t>
  </si>
  <si>
    <t>EF</t>
  </si>
  <si>
    <t>FG</t>
  </si>
  <si>
    <t>EH</t>
  </si>
  <si>
    <t>HI</t>
  </si>
  <si>
    <t>IJ</t>
  </si>
  <si>
    <t>HK</t>
  </si>
  <si>
    <t>KL</t>
  </si>
  <si>
    <t>LM</t>
  </si>
  <si>
    <t>KN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</si>
  <si>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</si>
  <si>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</si>
  <si>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</si>
  <si>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</si>
  <si>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</si>
  <si>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</si>
  <si>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</si>
  <si>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</si>
  <si>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</si>
  <si>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</si>
  <si>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</si>
  <si>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I</t>
  </si>
  <si>
    <t>J</t>
  </si>
  <si>
    <t>Cu22</t>
  </si>
  <si>
    <t>PE63</t>
  </si>
  <si>
    <t>type leiding</t>
  </si>
  <si>
    <t>invoerformaat</t>
  </si>
  <si>
    <t>Fe32 of 1 1/4"</t>
  </si>
  <si>
    <t>staal met DN 32mm</t>
  </si>
  <si>
    <t>mbar/m</t>
  </si>
  <si>
    <t>m²/h.kW</t>
  </si>
  <si>
    <t>hoogte winst/verlies</t>
  </si>
  <si>
    <t>d</t>
  </si>
  <si>
    <t>Q/kW</t>
  </si>
  <si>
    <t>Door u gekozen gas</t>
  </si>
  <si>
    <t>Leiding DN</t>
  </si>
  <si>
    <t>DN inwendig (mm)</t>
  </si>
  <si>
    <t>Tekst in tabel en wat als formules</t>
  </si>
  <si>
    <t>EN 10225+A1 tabel 2 zware reeks H</t>
  </si>
  <si>
    <t>EN 10225+A1 tabel  lichte reeks L</t>
  </si>
  <si>
    <t>NBN D51-003</t>
  </si>
  <si>
    <t>wanddikte</t>
  </si>
  <si>
    <t>DNuitw voor berekening inwendig</t>
  </si>
  <si>
    <t>referenties</t>
  </si>
  <si>
    <t>NBN A-25-104</t>
  </si>
  <si>
    <t>NBN D51-004</t>
  </si>
  <si>
    <t>NBN D51-003 v5</t>
  </si>
  <si>
    <t>EN 1555-2</t>
  </si>
  <si>
    <t>slechste scenario uit tabellen berekend Ayvaz, Boagas, Hydra GS, tracpipe</t>
  </si>
  <si>
    <t>Legende</t>
  </si>
  <si>
    <t>conventioneel 0,644</t>
  </si>
  <si>
    <t xml:space="preserve"> 0,644 gekozen in tekst nbn d51-003 v5 a1</t>
  </si>
  <si>
    <t>Cuivre 22mm</t>
  </si>
  <si>
    <t>Polyéthylène met DN 63mm</t>
  </si>
  <si>
    <t>A</t>
  </si>
  <si>
    <t>Type gaz</t>
  </si>
  <si>
    <t>gaz de ref</t>
  </si>
  <si>
    <t>Source</t>
  </si>
  <si>
    <t>1 als propaan butaan voor h&gt;15 m</t>
  </si>
  <si>
    <t>Berekening leidingsverlies</t>
  </si>
  <si>
    <t>revisie 2</t>
  </si>
  <si>
    <t>Vul de gele velden in</t>
  </si>
  <si>
    <t>Gas</t>
  </si>
  <si>
    <t>Ref. gas</t>
  </si>
  <si>
    <t>H of L aardgas? Zie DNB</t>
  </si>
  <si>
    <t>Toestel</t>
  </si>
  <si>
    <t>Nominaal vermogen (Pn)</t>
  </si>
  <si>
    <t>in [kW]</t>
  </si>
  <si>
    <t>Drukverlies</t>
  </si>
  <si>
    <t>in [mbar]</t>
  </si>
  <si>
    <t>Lengte leidingdeel in [m]</t>
  </si>
  <si>
    <t>Nominaal vermogen toestel in [kW]</t>
  </si>
  <si>
    <t>Leidingdeel</t>
  </si>
  <si>
    <t>Type leiding</t>
  </si>
  <si>
    <t>Lengte</t>
  </si>
  <si>
    <t>Hoogteverschil in [m]</t>
  </si>
  <si>
    <t>(dalen- of stijgen +)</t>
  </si>
  <si>
    <t>Q debiet</t>
  </si>
  <si>
    <t>in [m³/h]</t>
  </si>
  <si>
    <t>in [mm]</t>
  </si>
  <si>
    <t>DN inwendig</t>
  </si>
  <si>
    <t>Drukverlies per m</t>
  </si>
  <si>
    <t>in [mbar/m]</t>
  </si>
  <si>
    <t xml:space="preserve"> = 1,2 x L</t>
  </si>
  <si>
    <t>L fictief in [m]</t>
  </si>
  <si>
    <t>door hoogte in [mbar]</t>
  </si>
  <si>
    <t>Totaal drukverlies</t>
  </si>
  <si>
    <t>in leidingdeel [mbar]</t>
  </si>
  <si>
    <t>Snelheid</t>
  </si>
  <si>
    <t>in [m/s]</t>
  </si>
  <si>
    <t>geen</t>
  </si>
  <si>
    <t>Koolstofstaal DN 6     - 1/8"</t>
  </si>
  <si>
    <t>Koolstofstaal DN 8     - 1/4"</t>
  </si>
  <si>
    <t>Koolstofstaal DN 10   - 3/8"</t>
  </si>
  <si>
    <t>Koolstofstaal DN 15   - 1/2"</t>
  </si>
  <si>
    <t>Koolstofstaal DN 20   - 3/4"</t>
  </si>
  <si>
    <t>Koolstofstaal DN 25   - 1"</t>
  </si>
  <si>
    <t>Koolstofstaal DN 32   - 1 1/4"</t>
  </si>
  <si>
    <t>Koolstofstaal DN 40   - 1 1/2"</t>
  </si>
  <si>
    <t>Koolstofstaal DN 50   - 2"</t>
  </si>
  <si>
    <t>Koolstofstaal DN 65   - 2 1/2"</t>
  </si>
  <si>
    <t>Koolstofstaal DN 80   - 3"</t>
  </si>
  <si>
    <t>Koolstofstaal DN 90   - 3 1/2""</t>
  </si>
  <si>
    <t>Koolstofstaal DN 100 - 4"</t>
  </si>
  <si>
    <t>Koolstofstaal DN 125 - 5"</t>
  </si>
  <si>
    <t>Koolstofstaal DN 150 - 6"</t>
  </si>
  <si>
    <t>Koolstofstaal DN 200 - 8"</t>
  </si>
  <si>
    <t>Koolstofstaal DN 250 - 10"</t>
  </si>
  <si>
    <t>Koolstofstaal DN 300 - 12"</t>
  </si>
  <si>
    <t>Koolstofstaal DN 350 - 14"</t>
  </si>
  <si>
    <t>Koolstofstaal DN 400 - 16"</t>
  </si>
  <si>
    <t>Koolstofstaal DN 500 - 20"</t>
  </si>
  <si>
    <t>Koolstofstaal DN 600 - 24"</t>
  </si>
  <si>
    <t>Koolstofstaal DN 700 - 28"</t>
  </si>
  <si>
    <t>Koolstofstaal DN 800 - 32"</t>
  </si>
  <si>
    <t>Roestvast staal DN 15   - 1/2"</t>
  </si>
  <si>
    <t>Roestvast staal DN 20   - 3/4"</t>
  </si>
  <si>
    <t>Roestvast staal DN 25   - 1"</t>
  </si>
  <si>
    <t>Roestvast staal DN 32   - 1 1/4"</t>
  </si>
  <si>
    <t>Roestvast staal DN 40   - 1 1/2"</t>
  </si>
  <si>
    <t>Roestvast staal DN 50   - 2"</t>
  </si>
  <si>
    <t>Roestvast staal 15 x 1 mm</t>
  </si>
  <si>
    <t>Roestvast staal 18 x 1 mm</t>
  </si>
  <si>
    <t>Roestvast staal 22 x 1,2 mm</t>
  </si>
  <si>
    <t>Roestvast staal 28 x 1,2 mm</t>
  </si>
  <si>
    <t>Roestvast staal 35 x 1,5 mm</t>
  </si>
  <si>
    <t>Roestvast staal 42 x 1,5 mm</t>
  </si>
  <si>
    <t>Roestvast staal 54 x 1,5 mm</t>
  </si>
  <si>
    <t>Koper 12 x 1 mm</t>
  </si>
  <si>
    <t>Koper 15 x 1 mm</t>
  </si>
  <si>
    <t>Koper 18 x 1 mm</t>
  </si>
  <si>
    <t>Koper 22 x 1 mm</t>
  </si>
  <si>
    <t>Koper 28 x 1,5 mm</t>
  </si>
  <si>
    <t>Koper 28 x 1 mm</t>
  </si>
  <si>
    <t>Koper 35 x 1,2 mm</t>
  </si>
  <si>
    <t>Koper 40 x 1,2 mm</t>
  </si>
  <si>
    <t>Koper 54 x 1,5 mm</t>
  </si>
  <si>
    <t>Polyethyleen DN 16 SDR 11</t>
  </si>
  <si>
    <t>Polyethyleen DN 20 SDR 11</t>
  </si>
  <si>
    <t>Polyethyleen DN 25 SDR 11</t>
  </si>
  <si>
    <t>Polyethyleen DN 32 SDR 11</t>
  </si>
  <si>
    <t>Polyethyleen DN 40 SDR 11</t>
  </si>
  <si>
    <t>Polyethyleen DN 50 SDR 11</t>
  </si>
  <si>
    <t>Polyethyleen DN 63 SDR 11</t>
  </si>
  <si>
    <t>Polyethyleen DN 75 SDR 11</t>
  </si>
  <si>
    <t>Polyethyleen DN 90 SDR 11</t>
  </si>
  <si>
    <t>Polyethyleen DN 110 SDR 11</t>
  </si>
  <si>
    <t>Polyethyleen DN 125 SDR 11</t>
  </si>
  <si>
    <t>Polyethyleen DN 140 SDR 11</t>
  </si>
  <si>
    <t>Polyethyleen DN 160 SDR 11</t>
  </si>
  <si>
    <t>Polyethyleen DN 180 SDR 11</t>
  </si>
  <si>
    <t>Polyethyleen DN 200 SDR 11</t>
  </si>
  <si>
    <t>Polyethyleen DN 225 SDR 11</t>
  </si>
  <si>
    <t>Polyethyleen DN 280 SDR 11</t>
  </si>
  <si>
    <t>Polyethyleen DN 315 SDR 11</t>
  </si>
  <si>
    <t>Polyethyleen DN 355 SDR 11</t>
  </si>
  <si>
    <t>Polyethyleen DN 400 SDR 11</t>
  </si>
  <si>
    <t>Polyethyleen DN 450 SDR 11</t>
  </si>
  <si>
    <t>Polyethyleen DN 500 SDR 11</t>
  </si>
  <si>
    <t>Polyethyleen DN 560 SDR 11</t>
  </si>
  <si>
    <t>Polyethyleen DN 630 SDR 11</t>
  </si>
  <si>
    <t>PLT DN 12    *zie hyposthese</t>
  </si>
  <si>
    <t>PLT DN 15    *zie hyposthese</t>
  </si>
  <si>
    <t>PLT DN 16    *zie hyposthese</t>
  </si>
  <si>
    <t>PLT DN 20    *zie hyposthese</t>
  </si>
  <si>
    <t>PLT DN 22    *zie hyposthese</t>
  </si>
  <si>
    <t>PLT DN 25    *zie hyposthese</t>
  </si>
  <si>
    <t>PLT DN 28    *zie hyposthese</t>
  </si>
  <si>
    <t>PLT DN 32    *zie hyposthese</t>
  </si>
  <si>
    <t>PLT DN 40    *zie hyposthese</t>
  </si>
  <si>
    <t>PLT DN 50    *zie hyposthese</t>
  </si>
  <si>
    <t>geen toestel</t>
  </si>
  <si>
    <t>in orde</t>
  </si>
  <si>
    <t>niet in orde</t>
  </si>
  <si>
    <t>Aardgas L</t>
  </si>
  <si>
    <t>Aardgas H</t>
  </si>
  <si>
    <t>Propaan: vanaf 19/03/2017</t>
  </si>
  <si>
    <t>Butaan: vanaf 19/03/2017</t>
  </si>
  <si>
    <t>Propaan: 22/04/2008 tot 18/03/2017</t>
  </si>
  <si>
    <t>Butaan: 22/04/2008 tot 18/03/2017</t>
  </si>
  <si>
    <r>
      <rPr>
        <sz val="10"/>
        <rFont val="Calibri"/>
        <family val="2"/>
      </rPr>
      <t>Regelaar ≤</t>
    </r>
    <r>
      <rPr>
        <sz val="9.6999999999999993"/>
        <rFont val="Arial"/>
        <family val="2"/>
      </rPr>
      <t xml:space="preserve"> 50 mbar</t>
    </r>
  </si>
  <si>
    <t>Niet in orde</t>
  </si>
  <si>
    <t>Hoogte max. 15m?</t>
  </si>
  <si>
    <t>Gasmeter ≤ 30 mbar</t>
  </si>
  <si>
    <t>Bron:</t>
  </si>
  <si>
    <t>L in [m]</t>
  </si>
  <si>
    <t>Berekening volgens volgende hypotheses:</t>
  </si>
  <si>
    <t>*1ste Formule van Renouard</t>
  </si>
  <si>
    <t>*In verschillende secties van de buizen wordt een gemiddelde snelheid gehanteerd van dezelfde grootteorde</t>
  </si>
  <si>
    <t>*Relatieve densiteit d=0,644</t>
  </si>
  <si>
    <t>*Schrijf en rekenfouten onder voorbehoud</t>
  </si>
  <si>
    <t xml:space="preserve">*De berekeningen voor de PLT-buissystemen zijn slechts indicatief. Voor meer details consulteer de installatiehandleiding van het PLT-buissysteem. </t>
  </si>
  <si>
    <t>*Dit is een controleberekening volgens NBN D 51-003 en NBN D 51-006</t>
  </si>
  <si>
    <t>&lt; 1 mbar?</t>
  </si>
  <si>
    <t>Niet in orde: Snelheid te hoog</t>
  </si>
  <si>
    <t>Drukwinst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</si>
</sst>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#,##0.00\ _€"/>
  </numFmts>
  <fonts count="19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rgb="FFC0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rgb="FF009900"/>
      <name val="Arial"/>
      <family val="2"/>
    </font>
    <font>
      <sz val="10"/>
      <color rgb="FF0066FF"/>
      <name val="Arial"/>
      <family val="2"/>
    </font>
    <font>
      <sz val="10"/>
      <color theme="0"/>
      <name val="Arial"/>
      <family val="2"/>
    </font>
    <font>
      <sz val="10"/>
      <name val="Calibri"/>
      <family val="2"/>
    </font>
    <font>
      <sz val="9.6999999999999993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42">
    <xf numFmtId="0" fontId="0" fillId="0" borderId="0" xfId="0"/>
    <xf numFmtId="0" fontId="0" fillId="4" borderId="29" xfId="0" applyFill="1" applyBorder="1"/>
    <xf numFmtId="0" fontId="4" fillId="4" borderId="29" xfId="0" applyFont="1" applyFill="1" applyBorder="1"/>
    <xf numFmtId="0" fontId="4" fillId="10" borderId="16" xfId="0" applyFont="1" applyFill="1" applyBorder="1" applyAlignment="1" applyProtection="1">
      <alignment horizontal="left"/>
      <protection locked="0"/>
    </xf>
    <xf numFmtId="0" fontId="0" fillId="10" borderId="16" xfId="0" applyFill="1" applyBorder="1" applyAlignment="1" applyProtection="1">
      <alignment horizontal="left"/>
      <protection locked="0"/>
    </xf>
    <xf numFmtId="0" fontId="4" fillId="10" borderId="17" xfId="0" applyFont="1" applyFill="1" applyBorder="1" applyAlignment="1" applyProtection="1">
      <alignment horizontal="left"/>
      <protection locked="0"/>
    </xf>
    <xf numFmtId="0" fontId="4" fillId="10" borderId="18" xfId="0" applyFont="1" applyFill="1" applyBorder="1" applyAlignment="1" applyProtection="1">
      <alignment horizontal="left"/>
      <protection locked="0"/>
    </xf>
    <xf numFmtId="49" fontId="4" fillId="11" borderId="29" xfId="1" applyNumberFormat="1" applyFill="1" applyBorder="1" applyAlignment="1">
      <alignment horizontal="left"/>
    </xf>
    <xf numFmtId="0" fontId="4" fillId="11" borderId="29" xfId="1" applyFill="1" applyBorder="1" applyAlignment="1">
      <alignment horizontal="left"/>
    </xf>
    <xf numFmtId="0" fontId="17" fillId="8" borderId="0" xfId="0" applyFont="1" applyFill="1"/>
    <xf numFmtId="0" fontId="18" fillId="8" borderId="0" xfId="0" applyFont="1" applyFill="1"/>
    <xf numFmtId="0" fontId="18" fillId="3" borderId="0" xfId="0" applyFont="1" applyFill="1"/>
    <xf numFmtId="0" fontId="15" fillId="4" borderId="0" xfId="0" applyFont="1" applyFill="1"/>
    <xf numFmtId="0" fontId="0" fillId="4" borderId="0" xfId="0" applyFill="1"/>
    <xf numFmtId="0" fontId="0" fillId="11" borderId="0" xfId="0" applyFill="1"/>
    <xf numFmtId="0" fontId="6" fillId="4" borderId="0" xfId="0" applyFont="1" applyFill="1"/>
    <xf numFmtId="0" fontId="0" fillId="3" borderId="0" xfId="0" applyFill="1"/>
    <xf numFmtId="0" fontId="16" fillId="4" borderId="10" xfId="0" applyFont="1" applyFill="1" applyBorder="1"/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4" fillId="9" borderId="1" xfId="0" applyFont="1" applyFill="1" applyBorder="1"/>
    <xf numFmtId="0" fontId="4" fillId="11" borderId="0" xfId="0" applyFont="1" applyFill="1"/>
    <xf numFmtId="0" fontId="4" fillId="4" borderId="0" xfId="0" applyFont="1" applyFill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4" fillId="3" borderId="0" xfId="0" applyFont="1" applyFill="1"/>
    <xf numFmtId="0" fontId="4" fillId="4" borderId="7" xfId="0" applyFont="1" applyFill="1" applyBorder="1" applyAlignment="1">
      <alignment horizontal="center"/>
    </xf>
    <xf numFmtId="0" fontId="4" fillId="4" borderId="0" xfId="0" applyFont="1" applyFill="1"/>
    <xf numFmtId="0" fontId="4" fillId="11" borderId="24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4" fillId="3" borderId="31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11" fillId="3" borderId="34" xfId="0" applyFont="1" applyFill="1" applyBorder="1" applyAlignment="1">
      <alignment horizontal="right"/>
    </xf>
    <xf numFmtId="0" fontId="4" fillId="9" borderId="2" xfId="0" applyFont="1" applyFill="1" applyBorder="1"/>
    <xf numFmtId="0" fontId="4" fillId="9" borderId="3" xfId="0" applyFont="1" applyFill="1" applyBorder="1" applyAlignment="1">
      <alignment horizontal="left"/>
    </xf>
    <xf numFmtId="0" fontId="11" fillId="3" borderId="36" xfId="0" applyFont="1" applyFill="1" applyBorder="1" applyAlignment="1">
      <alignment horizontal="center"/>
    </xf>
    <xf numFmtId="0" fontId="0" fillId="9" borderId="4" xfId="0" applyFill="1" applyBorder="1"/>
    <xf numFmtId="0" fontId="4" fillId="9" borderId="4" xfId="0" applyFont="1" applyFill="1" applyBorder="1"/>
    <xf numFmtId="0" fontId="4" fillId="9" borderId="5" xfId="0" applyFont="1" applyFill="1" applyBorder="1" applyAlignment="1">
      <alignment horizontal="left"/>
    </xf>
    <xf numFmtId="0" fontId="4" fillId="9" borderId="24" xfId="0" applyFont="1" applyFill="1" applyBorder="1"/>
    <xf numFmtId="0" fontId="11" fillId="3" borderId="0" xfId="0" applyFont="1" applyFill="1" applyAlignment="1">
      <alignment horizontal="right"/>
    </xf>
    <xf numFmtId="0" fontId="4" fillId="3" borderId="35" xfId="0" applyFont="1" applyFill="1" applyBorder="1" applyAlignment="1">
      <alignment horizontal="left"/>
    </xf>
    <xf numFmtId="0" fontId="4" fillId="8" borderId="28" xfId="0" applyFont="1" applyFill="1" applyBorder="1"/>
    <xf numFmtId="165" fontId="0" fillId="3" borderId="9" xfId="0" applyNumberFormat="1" applyFill="1" applyBorder="1"/>
    <xf numFmtId="165" fontId="1" fillId="3" borderId="13" xfId="0" applyNumberFormat="1" applyFont="1" applyFill="1" applyBorder="1" applyAlignment="1">
      <alignment horizontal="left"/>
    </xf>
    <xf numFmtId="0" fontId="8" fillId="3" borderId="0" xfId="0" applyFont="1" applyFill="1" applyAlignment="1">
      <alignment horizontal="left" vertical="center"/>
    </xf>
    <xf numFmtId="0" fontId="0" fillId="8" borderId="17" xfId="0" applyFill="1" applyBorder="1"/>
    <xf numFmtId="0" fontId="0" fillId="3" borderId="26" xfId="0" applyFill="1" applyBorder="1"/>
    <xf numFmtId="165" fontId="1" fillId="3" borderId="14" xfId="0" applyNumberFormat="1" applyFont="1" applyFill="1" applyBorder="1" applyAlignment="1">
      <alignment horizontal="left"/>
    </xf>
    <xf numFmtId="0" fontId="11" fillId="3" borderId="31" xfId="0" applyFont="1" applyFill="1" applyBorder="1" applyAlignment="1">
      <alignment horizontal="right"/>
    </xf>
    <xf numFmtId="0" fontId="4" fillId="9" borderId="8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0" fillId="8" borderId="18" xfId="0" applyFill="1" applyBorder="1"/>
    <xf numFmtId="0" fontId="0" fillId="3" borderId="23" xfId="0" applyFill="1" applyBorder="1"/>
    <xf numFmtId="165" fontId="1" fillId="3" borderId="15" xfId="0" applyNumberFormat="1" applyFont="1" applyFill="1" applyBorder="1" applyAlignment="1">
      <alignment horizontal="left"/>
    </xf>
    <xf numFmtId="0" fontId="4" fillId="9" borderId="8" xfId="0" applyFont="1" applyFill="1" applyBorder="1"/>
    <xf numFmtId="0" fontId="4" fillId="9" borderId="9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0" fillId="9" borderId="9" xfId="0" applyFill="1" applyBorder="1"/>
    <xf numFmtId="0" fontId="4" fillId="9" borderId="3" xfId="0" applyFont="1" applyFill="1" applyBorder="1"/>
    <xf numFmtId="0" fontId="0" fillId="9" borderId="11" xfId="0" applyFill="1" applyBorder="1"/>
    <xf numFmtId="0" fontId="4" fillId="9" borderId="12" xfId="0" applyFont="1" applyFill="1" applyBorder="1" applyAlignment="1">
      <alignment horizontal="left"/>
    </xf>
    <xf numFmtId="0" fontId="7" fillId="9" borderId="24" xfId="0" applyFont="1" applyFill="1" applyBorder="1" applyAlignment="1">
      <alignment horizontal="left"/>
    </xf>
    <xf numFmtId="0" fontId="4" fillId="9" borderId="0" xfId="0" applyFont="1" applyFill="1" applyAlignment="1">
      <alignment horizontal="left"/>
    </xf>
    <xf numFmtId="0" fontId="4" fillId="9" borderId="0" xfId="0" applyFont="1" applyFill="1"/>
    <xf numFmtId="0" fontId="0" fillId="9" borderId="0" xfId="0" applyFill="1"/>
    <xf numFmtId="0" fontId="4" fillId="9" borderId="10" xfId="0" applyFont="1" applyFill="1" applyBorder="1"/>
    <xf numFmtId="0" fontId="0" fillId="8" borderId="16" xfId="0" applyFill="1" applyBorder="1"/>
    <xf numFmtId="0" fontId="1" fillId="3" borderId="28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2" fontId="1" fillId="3" borderId="25" xfId="0" applyNumberFormat="1" applyFont="1" applyFill="1" applyBorder="1" applyAlignment="1">
      <alignment horizontal="right"/>
    </xf>
    <xf numFmtId="0" fontId="1" fillId="3" borderId="25" xfId="0" applyFont="1" applyFill="1" applyBorder="1" applyAlignment="1">
      <alignment horizontal="right"/>
    </xf>
    <xf numFmtId="0" fontId="1" fillId="11" borderId="13" xfId="0" applyFont="1" applyFill="1" applyBorder="1" applyAlignment="1">
      <alignment horizontal="right"/>
    </xf>
    <xf numFmtId="2" fontId="1" fillId="3" borderId="13" xfId="0" applyNumberFormat="1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2" fontId="1" fillId="3" borderId="26" xfId="0" applyNumberFormat="1" applyFont="1" applyFill="1" applyBorder="1" applyAlignment="1">
      <alignment horizontal="right"/>
    </xf>
    <xf numFmtId="0" fontId="1" fillId="3" borderId="26" xfId="0" applyFont="1" applyFill="1" applyBorder="1" applyAlignment="1">
      <alignment horizontal="right"/>
    </xf>
    <xf numFmtId="0" fontId="1" fillId="11" borderId="14" xfId="0" applyFont="1" applyFill="1" applyBorder="1" applyAlignment="1">
      <alignment horizontal="right"/>
    </xf>
    <xf numFmtId="2" fontId="1" fillId="3" borderId="14" xfId="0" applyNumberFormat="1" applyFont="1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2" fontId="1" fillId="3" borderId="23" xfId="0" applyNumberFormat="1" applyFont="1" applyFill="1" applyBorder="1" applyAlignment="1">
      <alignment horizontal="right"/>
    </xf>
    <xf numFmtId="0" fontId="1" fillId="3" borderId="23" xfId="0" applyFont="1" applyFill="1" applyBorder="1" applyAlignment="1">
      <alignment horizontal="right"/>
    </xf>
    <xf numFmtId="0" fontId="1" fillId="11" borderId="15" xfId="0" applyFont="1" applyFill="1" applyBorder="1" applyAlignment="1">
      <alignment horizontal="right"/>
    </xf>
    <xf numFmtId="2" fontId="1" fillId="3" borderId="15" xfId="0" applyNumberFormat="1" applyFont="1" applyFill="1" applyBorder="1" applyAlignment="1">
      <alignment horizontal="right"/>
    </xf>
    <xf numFmtId="2" fontId="4" fillId="3" borderId="0" xfId="0" applyNumberFormat="1" applyFont="1" applyFill="1"/>
    <xf numFmtId="0" fontId="4" fillId="2" borderId="1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3" borderId="29" xfId="0" applyFont="1" applyFill="1" applyBorder="1"/>
    <xf numFmtId="0" fontId="4" fillId="6" borderId="29" xfId="0" applyFont="1" applyFill="1" applyBorder="1"/>
    <xf numFmtId="0" fontId="4" fillId="7" borderId="19" xfId="0" applyFont="1" applyFill="1" applyBorder="1"/>
    <xf numFmtId="0" fontId="4" fillId="7" borderId="20" xfId="0" applyFont="1" applyFill="1" applyBorder="1"/>
    <xf numFmtId="0" fontId="4" fillId="7" borderId="13" xfId="0" applyFont="1" applyFill="1" applyBorder="1"/>
    <xf numFmtId="0" fontId="4" fillId="7" borderId="21" xfId="0" applyFont="1" applyFill="1" applyBorder="1"/>
    <xf numFmtId="0" fontId="4" fillId="7" borderId="22" xfId="0" applyFont="1" applyFill="1" applyBorder="1"/>
    <xf numFmtId="0" fontId="4" fillId="7" borderId="14" xfId="0" applyFont="1" applyFill="1" applyBorder="1"/>
    <xf numFmtId="0" fontId="4" fillId="3" borderId="29" xfId="0" applyFont="1" applyFill="1" applyBorder="1" applyAlignment="1">
      <alignment horizontal="left"/>
    </xf>
    <xf numFmtId="0" fontId="4" fillId="7" borderId="18" xfId="0" applyFont="1" applyFill="1" applyBorder="1"/>
    <xf numFmtId="0" fontId="4" fillId="7" borderId="23" xfId="0" applyFont="1" applyFill="1" applyBorder="1"/>
    <xf numFmtId="0" fontId="4" fillId="7" borderId="15" xfId="0" applyFont="1" applyFill="1" applyBorder="1"/>
    <xf numFmtId="0" fontId="4" fillId="7" borderId="29" xfId="0" applyFont="1" applyFill="1" applyBorder="1"/>
    <xf numFmtId="0" fontId="4" fillId="7" borderId="29" xfId="0" applyFont="1" applyFill="1" applyBorder="1" applyAlignment="1">
      <alignment horizontal="left"/>
    </xf>
    <xf numFmtId="0" fontId="2" fillId="3" borderId="0" xfId="0" applyFont="1" applyFill="1"/>
    <xf numFmtId="0" fontId="4" fillId="0" borderId="0" xfId="0" applyFont="1"/>
    <xf numFmtId="0" fontId="4" fillId="0" borderId="29" xfId="0" applyFont="1" applyBorder="1" applyAlignment="1">
      <alignment horizontal="left"/>
    </xf>
    <xf numFmtId="0" fontId="4" fillId="4" borderId="29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left"/>
    </xf>
    <xf numFmtId="164" fontId="4" fillId="3" borderId="29" xfId="0" applyNumberFormat="1" applyFont="1" applyFill="1" applyBorder="1" applyAlignment="1">
      <alignment horizontal="left"/>
    </xf>
    <xf numFmtId="0" fontId="5" fillId="3" borderId="29" xfId="0" applyFont="1" applyFill="1" applyBorder="1"/>
    <xf numFmtId="0" fontId="5" fillId="3" borderId="0" xfId="0" applyFont="1" applyFill="1"/>
    <xf numFmtId="0" fontId="4" fillId="5" borderId="29" xfId="0" applyFont="1" applyFill="1" applyBorder="1"/>
    <xf numFmtId="0" fontId="4" fillId="6" borderId="0" xfId="0" applyFont="1" applyFill="1"/>
    <xf numFmtId="0" fontId="4" fillId="11" borderId="29" xfId="0" applyFont="1" applyFill="1" applyBorder="1"/>
    <xf numFmtId="0" fontId="4" fillId="11" borderId="29" xfId="0" applyFont="1" applyFill="1" applyBorder="1" applyAlignment="1">
      <alignment horizontal="center"/>
    </xf>
    <xf numFmtId="0" fontId="4" fillId="11" borderId="0" xfId="0" applyFont="1" applyFill="1" applyAlignment="1">
      <alignment horizontal="right"/>
    </xf>
    <xf numFmtId="0" fontId="4" fillId="11" borderId="37" xfId="0" applyFont="1" applyFill="1" applyBorder="1"/>
    <xf numFmtId="0" fontId="4" fillId="11" borderId="0" xfId="0" applyFont="1" applyFill="1" applyAlignment="1">
      <alignment horizontal="left"/>
    </xf>
    <xf numFmtId="0" fontId="4" fillId="6" borderId="29" xfId="0" applyFont="1" applyFill="1" applyBorder="1" applyAlignment="1">
      <alignment horizontal="left"/>
    </xf>
    <xf numFmtId="0" fontId="4" fillId="11" borderId="29" xfId="0" applyFont="1" applyFill="1" applyBorder="1" applyAlignment="1">
      <alignment horizontal="left"/>
    </xf>
    <xf numFmtId="0" fontId="0" fillId="11" borderId="29" xfId="0" applyFill="1" applyBorder="1" applyAlignment="1">
      <alignment horizontal="left"/>
    </xf>
    <xf numFmtId="0" fontId="4" fillId="10" borderId="7" xfId="0" applyFont="1" applyFill="1" applyBorder="1" applyAlignment="1" applyProtection="1">
      <alignment horizontal="left"/>
      <protection locked="0"/>
    </xf>
    <xf numFmtId="0" fontId="4" fillId="10" borderId="13" xfId="0" applyFont="1" applyFill="1" applyBorder="1" applyAlignment="1" applyProtection="1">
      <alignment horizontal="left"/>
      <protection locked="0"/>
    </xf>
    <xf numFmtId="0" fontId="0" fillId="10" borderId="14" xfId="0" applyFill="1" applyBorder="1" applyAlignment="1" applyProtection="1">
      <alignment horizontal="left"/>
      <protection locked="0"/>
    </xf>
    <xf numFmtId="0" fontId="0" fillId="10" borderId="15" xfId="0" applyFill="1" applyBorder="1" applyAlignment="1" applyProtection="1">
      <alignment horizontal="left"/>
      <protection locked="0"/>
    </xf>
    <xf numFmtId="0" fontId="0" fillId="10" borderId="27" xfId="0" applyFill="1" applyBorder="1" applyAlignment="1" applyProtection="1">
      <alignment horizontal="right"/>
      <protection locked="0"/>
    </xf>
    <xf numFmtId="0" fontId="0" fillId="10" borderId="16" xfId="0" applyFill="1" applyBorder="1" applyAlignment="1" applyProtection="1">
      <alignment horizontal="right"/>
      <protection locked="0"/>
    </xf>
    <xf numFmtId="0" fontId="0" fillId="10" borderId="14" xfId="0" applyFill="1" applyBorder="1" applyAlignment="1" applyProtection="1">
      <alignment horizontal="right"/>
      <protection locked="0"/>
    </xf>
    <xf numFmtId="0" fontId="0" fillId="10" borderId="17" xfId="0" applyFill="1" applyBorder="1" applyAlignment="1" applyProtection="1">
      <alignment horizontal="right"/>
      <protection locked="0"/>
    </xf>
    <xf numFmtId="0" fontId="0" fillId="10" borderId="15" xfId="0" applyFill="1" applyBorder="1" applyAlignment="1" applyProtection="1">
      <alignment horizontal="right"/>
      <protection locked="0"/>
    </xf>
    <xf numFmtId="0" fontId="0" fillId="10" borderId="18" xfId="0" applyFill="1" applyBorder="1" applyAlignment="1" applyProtection="1">
      <alignment horizontal="right"/>
      <protection locked="0"/>
    </xf>
    <xf numFmtId="0" fontId="12" fillId="3" borderId="0" xfId="0" applyFont="1" applyFill="1" applyAlignment="1">
      <alignment horizontal="center" wrapText="1"/>
    </xf>
    <xf numFmtId="0" fontId="12" fillId="3" borderId="12" xfId="0" applyFont="1" applyFill="1" applyBorder="1" applyAlignment="1">
      <alignment horizontal="center" wrapText="1"/>
    </xf>
    <xf numFmtId="0" fontId="4" fillId="11" borderId="38" xfId="0" applyFont="1" applyFill="1" applyBorder="1" applyAlignment="1">
      <alignment horizontal="left" vertical="top"/>
    </xf>
  </cellXfs>
  <cellStyles count="2">
    <cellStyle name="Standaard" xfId="0" builtinId="0"/>
    <cellStyle name="Standaard_Blad1" xfId="1" xr:uid="{00000000-0005-0000-0000-000002000000}"/>
  </cellStyles>
  <dxfs count="12">
    <dxf>
      <fill>
        <patternFill>
          <bgColor rgb="FFFF5050"/>
        </patternFill>
      </fill>
    </dxf>
    <dxf>
      <font>
        <color theme="1"/>
      </font>
      <fill>
        <patternFill>
          <bgColor rgb="FFFF5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</font>
      <fill>
        <patternFill>
          <bgColor rgb="FFFF5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22"/>
      </font>
      <fill>
        <patternFill>
          <bgColor indexed="9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FFFF"/>
      <color rgb="FFFF5050"/>
      <color rgb="FFFF3300"/>
      <color rgb="FFFFFF99"/>
      <color rgb="FFFF6600"/>
      <color rgb="FF0066FF"/>
      <color rgb="FF009900"/>
      <color rgb="FFCCECFF"/>
      <color rgb="FF3399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21</xdr:row>
      <xdr:rowOff>152400</xdr:rowOff>
    </xdr:from>
    <xdr:to>
      <xdr:col>23</xdr:col>
      <xdr:colOff>228600</xdr:colOff>
      <xdr:row>73</xdr:row>
      <xdr:rowOff>28575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81ADF711-7C71-4B3D-AE2E-1AACF15C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552825"/>
          <a:ext cx="14239875" cy="829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333375</xdr:colOff>
      <xdr:row>1</xdr:row>
      <xdr:rowOff>38100</xdr:rowOff>
    </xdr:from>
    <xdr:to>
      <xdr:col>19</xdr:col>
      <xdr:colOff>65870</xdr:colOff>
      <xdr:row>28</xdr:row>
      <xdr:rowOff>75649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5A9568C8-E843-46FC-A0CE-E3C9AD8A7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0175" y="200025"/>
          <a:ext cx="6438095" cy="44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L357"/>
  <sheetViews>
    <sheetView showGridLines="0" showRowColHeaders="0" tabSelected="1" showOutlineSymbols="0" zoomScaleNormal="100" workbookViewId="0">
      <selection activeCell="B8" sqref="B8"/>
    </sheetView>
  </sheetViews>
  <sheetFormatPr defaultColWidth="9.109375" defaultRowHeight="13.2" outlineLevelRow="1" x14ac:dyDescent="0.25"/>
  <cols>
    <col min="1" max="1" width="11.44140625" style="16" customWidth="1"/>
    <col min="2" max="2" width="30.44140625" style="16" customWidth="1"/>
    <col min="3" max="3" width="17" style="16" customWidth="1"/>
    <col min="4" max="4" width="22.33203125" style="16" customWidth="1"/>
    <col min="5" max="8" width="18.6640625" style="16" customWidth="1"/>
    <col min="9" max="9" width="18.6640625" style="16" hidden="1" customWidth="1"/>
    <col min="10" max="10" width="18.6640625" style="16" customWidth="1"/>
    <col min="11" max="11" width="20" style="16" customWidth="1"/>
    <col min="12" max="12" width="18.6640625" style="16" customWidth="1"/>
    <col min="13" max="16384" width="9.109375" style="16"/>
  </cols>
  <sheetData>
    <row r="1" spans="1:12" s="11" customFormat="1" ht="15" customHeight="1" x14ac:dyDescent="0.3">
      <c r="A1" s="9" t="s">
        <v>62</v>
      </c>
      <c r="B1" s="10"/>
      <c r="C1" s="9" t="s">
        <v>63</v>
      </c>
      <c r="D1" s="10"/>
      <c r="E1" s="10"/>
      <c r="F1" s="10"/>
      <c r="G1" s="10"/>
      <c r="H1" s="10"/>
      <c r="I1" s="10"/>
      <c r="J1" s="10"/>
      <c r="K1" s="10"/>
      <c r="L1" s="10"/>
    </row>
    <row r="2" spans="1:12" ht="15" customHeight="1" x14ac:dyDescent="0.3">
      <c r="A2" s="12"/>
      <c r="B2" s="13"/>
      <c r="C2" s="14"/>
      <c r="D2" s="13"/>
      <c r="E2" s="15"/>
      <c r="F2" s="15"/>
      <c r="G2" s="15"/>
      <c r="H2" s="15"/>
      <c r="I2" s="15"/>
      <c r="J2" s="15"/>
      <c r="K2" s="15"/>
      <c r="L2" s="15"/>
    </row>
    <row r="3" spans="1:12" ht="15" customHeight="1" x14ac:dyDescent="0.3">
      <c r="A3" s="12"/>
      <c r="B3" s="13"/>
      <c r="C3" s="14"/>
      <c r="D3" s="13"/>
      <c r="E3" s="15"/>
      <c r="F3" s="15"/>
      <c r="G3" s="15"/>
      <c r="H3" s="15"/>
      <c r="I3" s="15"/>
      <c r="J3" s="15"/>
      <c r="K3" s="15"/>
      <c r="L3" s="15"/>
    </row>
    <row r="4" spans="1:12" ht="15" customHeight="1" x14ac:dyDescent="0.3">
      <c r="A4" s="12"/>
      <c r="B4" s="13"/>
      <c r="C4" s="14"/>
      <c r="D4" s="13"/>
      <c r="E4" s="15"/>
      <c r="F4" s="15"/>
      <c r="G4" s="15"/>
      <c r="H4" s="15"/>
      <c r="I4" s="15"/>
      <c r="J4" s="15"/>
      <c r="K4" s="15"/>
      <c r="L4" s="15"/>
    </row>
    <row r="5" spans="1:12" ht="15" customHeight="1" x14ac:dyDescent="0.3">
      <c r="A5" s="12"/>
      <c r="B5" s="13"/>
      <c r="C5" s="14"/>
      <c r="D5" s="13"/>
      <c r="E5" s="15"/>
      <c r="F5" s="15"/>
      <c r="G5" s="15"/>
      <c r="H5" s="15"/>
      <c r="I5" s="15"/>
      <c r="J5" s="15"/>
      <c r="K5" s="15"/>
      <c r="L5" s="15"/>
    </row>
    <row r="6" spans="1:12" ht="15" customHeight="1" x14ac:dyDescent="0.3">
      <c r="A6" s="17" t="s">
        <v>64</v>
      </c>
      <c r="B6" s="13"/>
      <c r="C6" s="14"/>
      <c r="D6" s="13"/>
      <c r="E6" s="15"/>
      <c r="F6" s="15"/>
      <c r="G6" s="15"/>
      <c r="H6" s="15"/>
      <c r="I6" s="15"/>
      <c r="J6" s="15"/>
      <c r="K6" s="15"/>
      <c r="L6" s="15"/>
    </row>
    <row r="7" spans="1:12" ht="12.75" customHeight="1" thickBot="1" x14ac:dyDescent="0.3">
      <c r="C7" s="14"/>
      <c r="E7" s="18"/>
      <c r="F7" s="19"/>
      <c r="G7" s="20" t="str">
        <f>CONCATENATE(B13,," kW")</f>
        <v>0 kW</v>
      </c>
      <c r="H7" s="20" t="str">
        <f>CONCATENATE(B16," kW")</f>
        <v>0 kW</v>
      </c>
      <c r="I7" s="20"/>
      <c r="J7" s="20" t="str">
        <f>CONCATENATE(B19," kW")</f>
        <v>0 kW</v>
      </c>
      <c r="K7" s="20" t="str">
        <f>CONCATENATE(B22,," kW")</f>
        <v>0 kW</v>
      </c>
      <c r="L7" s="20" t="str">
        <f>CONCATENATE(B25," kW")</f>
        <v>0 kW</v>
      </c>
    </row>
    <row r="8" spans="1:12" s="27" customFormat="1" ht="13.8" thickBot="1" x14ac:dyDescent="0.3">
      <c r="A8" s="21" t="s">
        <v>65</v>
      </c>
      <c r="B8" s="129" t="s">
        <v>177</v>
      </c>
      <c r="C8" s="22" t="s">
        <v>67</v>
      </c>
      <c r="D8" s="23"/>
      <c r="E8" s="24" t="str">
        <f>D189</f>
        <v>Bron:</v>
      </c>
      <c r="F8" s="25" t="s">
        <v>57</v>
      </c>
      <c r="G8" s="25" t="s">
        <v>13</v>
      </c>
      <c r="H8" s="25" t="s">
        <v>16</v>
      </c>
      <c r="I8" s="25"/>
      <c r="J8" s="25" t="s">
        <v>19</v>
      </c>
      <c r="K8" s="25" t="s">
        <v>20</v>
      </c>
      <c r="L8" s="26" t="s">
        <v>23</v>
      </c>
    </row>
    <row r="9" spans="1:12" ht="14.4" thickTop="1" thickBot="1" x14ac:dyDescent="0.3">
      <c r="A9" s="21" t="s">
        <v>66</v>
      </c>
      <c r="B9" s="28" t="str">
        <f>VLOOKUP(B8,B196:D201,2,FALSE)</f>
        <v>L</v>
      </c>
      <c r="C9" s="22"/>
      <c r="D9" s="29"/>
      <c r="E9" s="30" t="str">
        <f>VLOOKUP(B8,B196:D201,3,FALSE)</f>
        <v>Gasmeter ≤ 30 mbar</v>
      </c>
      <c r="F9" s="31" t="str">
        <f>CONCATENATE(C29," m")</f>
        <v>0 m</v>
      </c>
      <c r="G9" s="32" t="str">
        <f>CONCATENATE(C32," m")</f>
        <v>0 m</v>
      </c>
      <c r="H9" s="33" t="str">
        <f>CONCATENATE(C35," m")</f>
        <v>0 m</v>
      </c>
      <c r="I9" s="33"/>
      <c r="J9" s="32" t="str">
        <f>CONCATENATE(C38," m")</f>
        <v>0 m</v>
      </c>
      <c r="K9" s="33" t="str">
        <f>CONCATENATE(C41," m")</f>
        <v>0 m</v>
      </c>
      <c r="L9" s="19"/>
    </row>
    <row r="10" spans="1:12" ht="13.8" thickBot="1" x14ac:dyDescent="0.3">
      <c r="A10" s="14"/>
      <c r="B10" s="14"/>
      <c r="C10" s="14"/>
      <c r="E10" s="22"/>
      <c r="F10" s="34"/>
      <c r="G10" s="35"/>
      <c r="H10" s="19"/>
      <c r="I10" s="19"/>
      <c r="J10" s="36" t="str">
        <f>CONCATENATE(C39," m  ")</f>
        <v xml:space="preserve">0 m  </v>
      </c>
      <c r="K10" s="19"/>
      <c r="L10" s="19"/>
    </row>
    <row r="11" spans="1:12" ht="13.8" thickBot="1" x14ac:dyDescent="0.3">
      <c r="A11" s="37" t="s">
        <v>68</v>
      </c>
      <c r="B11" s="37" t="s">
        <v>69</v>
      </c>
      <c r="C11" s="38" t="s">
        <v>71</v>
      </c>
      <c r="D11" s="38" t="s">
        <v>71</v>
      </c>
      <c r="E11" s="141" t="str">
        <f>IF(COUNTBLANK(E13:E25)=13,"",C190)</f>
        <v/>
      </c>
      <c r="F11" s="34"/>
      <c r="G11" s="35"/>
      <c r="H11" s="19"/>
      <c r="I11" s="19"/>
      <c r="J11" s="35"/>
      <c r="K11" s="39" t="str">
        <f>CONCATENATE(C40," m")</f>
        <v>0 m</v>
      </c>
      <c r="L11" s="19"/>
    </row>
    <row r="12" spans="1:12" ht="14.4" thickTop="1" thickBot="1" x14ac:dyDescent="0.3">
      <c r="A12" s="40"/>
      <c r="B12" s="41" t="s">
        <v>70</v>
      </c>
      <c r="C12" s="42" t="s">
        <v>196</v>
      </c>
      <c r="D12" s="43" t="s">
        <v>72</v>
      </c>
      <c r="E12" s="141"/>
      <c r="F12" s="34"/>
      <c r="G12" s="35"/>
      <c r="H12" s="44" t="str">
        <f>CONCATENATE(C36," m  ")</f>
        <v xml:space="preserve">0 m  </v>
      </c>
      <c r="I12" s="19"/>
      <c r="J12" s="45"/>
      <c r="K12" s="26" t="s">
        <v>21</v>
      </c>
      <c r="L12" s="26" t="s">
        <v>22</v>
      </c>
    </row>
    <row r="13" spans="1:12" x14ac:dyDescent="0.25">
      <c r="A13" s="46" t="s">
        <v>13</v>
      </c>
      <c r="B13" s="130">
        <v>0</v>
      </c>
      <c r="C13" s="47" t="str">
        <f>IF(D13&lt;1,A192,IF(D13=A191,A191,A193))</f>
        <v>geen toestel</v>
      </c>
      <c r="D13" s="48" t="str">
        <f>IF(B13&lt;2,A191,K29)</f>
        <v>geen toestel</v>
      </c>
      <c r="E13" s="22" t="str">
        <f>IF(B13&gt;0,IF(AND(VLOOKUP($B$8,$B$196:$E$201,4,FALSE)=1,SUM(D29)&gt;15),$C$189,""),"")</f>
        <v/>
      </c>
      <c r="F13" s="34"/>
      <c r="G13" s="36" t="str">
        <f>CONCATENATE(C33," m  ")</f>
        <v xml:space="preserve">0 m  </v>
      </c>
      <c r="H13" s="19"/>
      <c r="I13" s="19"/>
      <c r="J13" s="45"/>
      <c r="K13" s="49" t="str">
        <f>CONCATENATE(B23," kW")</f>
        <v>0 kW</v>
      </c>
      <c r="L13" s="20" t="str">
        <f>CONCATENATE(B24," kW")</f>
        <v>0 kW</v>
      </c>
    </row>
    <row r="14" spans="1:12" ht="13.8" thickBot="1" x14ac:dyDescent="0.3">
      <c r="A14" s="50" t="s">
        <v>14</v>
      </c>
      <c r="B14" s="131">
        <v>0</v>
      </c>
      <c r="C14" s="51" t="str">
        <f>IF(D14&lt;1,A192,IF(D14=A191,A191,A193))</f>
        <v>geen toestel</v>
      </c>
      <c r="D14" s="52" t="str">
        <f>IF(B14&lt;2,A191,SUM(K29,K30))</f>
        <v>geen toestel</v>
      </c>
      <c r="E14" s="22" t="str">
        <f>IF(B14&gt;0,IF(AND(VLOOKUP($B$8,$B$196:$E$201,4,FALSE)=1,SUM(D29,D30)&gt;15),$C$189,""),"")</f>
        <v/>
      </c>
      <c r="F14" s="34"/>
      <c r="G14" s="35"/>
      <c r="H14" s="19"/>
      <c r="I14" s="19"/>
      <c r="J14" s="39" t="str">
        <f>CONCATENATE(C37," m")</f>
        <v>0 m</v>
      </c>
      <c r="K14" s="19"/>
      <c r="L14" s="19"/>
    </row>
    <row r="15" spans="1:12" ht="13.8" thickTop="1" x14ac:dyDescent="0.25">
      <c r="A15" s="50" t="s">
        <v>15</v>
      </c>
      <c r="B15" s="131">
        <v>0</v>
      </c>
      <c r="C15" s="51" t="str">
        <f>IF(D15&lt;1,A192,IF(D15=A191,A191,A193))</f>
        <v>geen toestel</v>
      </c>
      <c r="D15" s="52" t="str">
        <f>IF(B15&lt;2,A191,SUM(K29,K30,K31))</f>
        <v>geen toestel</v>
      </c>
      <c r="E15" s="22" t="str">
        <f>IF(B15&gt;0,IF(AND(VLOOKUP($B$8,$B$196:$E$201,4,FALSE)=1,SUM(D29,D30,D31)&gt;15),$C$189,""),"")</f>
        <v/>
      </c>
      <c r="F15" s="53" t="str">
        <f>CONCATENATE(C30, " m  ")</f>
        <v xml:space="preserve">0 m  </v>
      </c>
      <c r="G15" s="35"/>
      <c r="H15" s="19"/>
      <c r="I15" s="19"/>
      <c r="J15" s="26" t="s">
        <v>24</v>
      </c>
      <c r="K15" s="26" t="s">
        <v>25</v>
      </c>
      <c r="L15" s="19"/>
    </row>
    <row r="16" spans="1:12" x14ac:dyDescent="0.25">
      <c r="A16" s="50" t="s">
        <v>16</v>
      </c>
      <c r="B16" s="131">
        <v>0</v>
      </c>
      <c r="C16" s="51" t="str">
        <f>IF(D16&lt;1,A192,IF(D16=A191,A191,A193))</f>
        <v>geen toestel</v>
      </c>
      <c r="D16" s="52" t="str">
        <f>IF(B16&lt;2,A191,SUM(K29,K32))</f>
        <v>geen toestel</v>
      </c>
      <c r="E16" s="22" t="str">
        <f>IF(B16&gt;0,IF(AND(VLOOKUP($B$8,$B$196:$E$201,4,FALSE)=1,SUM(D29,D32)&gt;15),$C$189,""),"")</f>
        <v/>
      </c>
      <c r="F16" s="34"/>
      <c r="G16" s="35"/>
      <c r="H16" s="19"/>
      <c r="I16" s="19"/>
      <c r="J16" s="20" t="str">
        <f>CONCATENATE(B20," kW")</f>
        <v>0 kW</v>
      </c>
      <c r="K16" s="20" t="str">
        <f>CONCATENATE(B21," kW")</f>
        <v>0 kW</v>
      </c>
      <c r="L16" s="19"/>
    </row>
    <row r="17" spans="1:12" ht="13.8" thickBot="1" x14ac:dyDescent="0.3">
      <c r="A17" s="50" t="s">
        <v>17</v>
      </c>
      <c r="B17" s="131">
        <v>0</v>
      </c>
      <c r="C17" s="51" t="str">
        <f>IF(D17&lt;1,A192,IF(D17=A191,A191,A193))</f>
        <v>geen toestel</v>
      </c>
      <c r="D17" s="52" t="str">
        <f>IF(B17&lt;2,A191,SUM(K29,K32,K33))</f>
        <v>geen toestel</v>
      </c>
      <c r="E17" s="22" t="str">
        <f>IF(B17&gt;0,IF(AND(VLOOKUP($B$8,$B$196:$E$201,4,FALSE)=1,SUM(D32,D29,D33)&gt;15),$C$189,""),"")</f>
        <v/>
      </c>
      <c r="F17" s="34"/>
      <c r="G17" s="35"/>
      <c r="H17" s="39" t="str">
        <f>CONCATENATE(C34," m")</f>
        <v>0 m</v>
      </c>
      <c r="I17" s="19"/>
      <c r="J17" s="19"/>
      <c r="K17" s="19"/>
      <c r="L17" s="19"/>
    </row>
    <row r="18" spans="1:12" ht="13.8" thickTop="1" x14ac:dyDescent="0.25">
      <c r="A18" s="50" t="s">
        <v>18</v>
      </c>
      <c r="B18" s="131">
        <v>0</v>
      </c>
      <c r="C18" s="51" t="str">
        <f>IF(D18&lt;1,A192,IF(D18=A191,A191,A193))</f>
        <v>geen toestel</v>
      </c>
      <c r="D18" s="52" t="str">
        <f>IF(B18&lt;2,A191,SUM(K29,K32,K33,K34))</f>
        <v>geen toestel</v>
      </c>
      <c r="E18" s="22" t="str">
        <f>IF(B18&gt;0,IF(AND(VLOOKUP($B$8,$B$196:$E$201,4,FALSE)=1,SUM(D29,D32,D33,D34)&gt;15),$C$189,""),"")</f>
        <v/>
      </c>
      <c r="F18" s="34"/>
      <c r="G18" s="19"/>
      <c r="H18" s="26" t="s">
        <v>17</v>
      </c>
      <c r="I18" s="26"/>
      <c r="J18" s="26" t="s">
        <v>18</v>
      </c>
      <c r="K18" s="19"/>
      <c r="L18" s="19"/>
    </row>
    <row r="19" spans="1:12" x14ac:dyDescent="0.25">
      <c r="A19" s="50" t="s">
        <v>19</v>
      </c>
      <c r="B19" s="131">
        <v>0</v>
      </c>
      <c r="C19" s="51" t="str">
        <f>IF(D19&lt;1,A192,IF(D19=A191,A191,A193))</f>
        <v>geen toestel</v>
      </c>
      <c r="D19" s="52" t="str">
        <f>IF(B19&lt;2,A191,SUM(K29,K32,K35))</f>
        <v>geen toestel</v>
      </c>
      <c r="E19" s="22" t="str">
        <f>IF(B19&gt;0,IF(AND(VLOOKUP($B$8,$B$196:$E$201,4,FALSE)=1,SUM(D29,D32,D35)&gt;15),$C$189,""),"")</f>
        <v/>
      </c>
      <c r="F19" s="34"/>
      <c r="G19" s="19"/>
      <c r="H19" s="20" t="str">
        <f>CONCATENATE(B17," kW")</f>
        <v>0 kW</v>
      </c>
      <c r="I19" s="20"/>
      <c r="J19" s="20" t="str">
        <f>CONCATENATE(B18," kW")</f>
        <v>0 kW</v>
      </c>
    </row>
    <row r="20" spans="1:12" ht="13.8" thickBot="1" x14ac:dyDescent="0.3">
      <c r="A20" s="50" t="s">
        <v>24</v>
      </c>
      <c r="B20" s="131">
        <v>0</v>
      </c>
      <c r="C20" s="51" t="str">
        <f>IF(D20&lt;1,A192,IF(D20=A191,A191,A193))</f>
        <v>geen toestel</v>
      </c>
      <c r="D20" s="52" t="str">
        <f>IF(B20&lt;2,A191,SUM(K29,K32,K35,K36))</f>
        <v>geen toestel</v>
      </c>
      <c r="E20" s="22" t="str">
        <f>IF(B20&gt;0,IF(AND(VLOOKUP($B$8,$B$196:$E$201,4,FALSE)=1,SUM(D29,D32,D35,D36)&gt;15),$C$189,""),"")</f>
        <v/>
      </c>
      <c r="F20" s="34"/>
      <c r="G20" s="39" t="str">
        <f>CONCATENATE(C31, ," m")</f>
        <v>0 m</v>
      </c>
      <c r="H20" s="19"/>
      <c r="I20" s="19"/>
      <c r="J20" s="19"/>
    </row>
    <row r="21" spans="1:12" ht="14.4" thickTop="1" thickBot="1" x14ac:dyDescent="0.3">
      <c r="A21" s="50" t="s">
        <v>25</v>
      </c>
      <c r="B21" s="131">
        <v>0</v>
      </c>
      <c r="C21" s="51" t="str">
        <f>IF(D21&lt;1,A192,IF(D21=A191,A191,A193))</f>
        <v>geen toestel</v>
      </c>
      <c r="D21" s="52" t="str">
        <f>IF(B21&lt;2,A191,SUM(K29,K32,K35,K36,K37))</f>
        <v>geen toestel</v>
      </c>
      <c r="E21" s="22" t="str">
        <f>IF(B21&gt;0,IF(AND(VLOOKUP($B$8,$B$196:$E$201,4,FALSE)=1,SUM(D29,D32,D35,D36,D37)&gt;15),$C$189,""),"")</f>
        <v/>
      </c>
      <c r="F21" s="19"/>
      <c r="G21" s="26" t="s">
        <v>14</v>
      </c>
      <c r="H21" s="26" t="s">
        <v>15</v>
      </c>
      <c r="I21" s="19"/>
      <c r="J21" s="19"/>
      <c r="K21" s="54" t="s">
        <v>52</v>
      </c>
      <c r="L21" s="38"/>
    </row>
    <row r="22" spans="1:12" x14ac:dyDescent="0.25">
      <c r="A22" s="50" t="s">
        <v>20</v>
      </c>
      <c r="B22" s="131">
        <v>0</v>
      </c>
      <c r="C22" s="51" t="str">
        <f>IF(D22&lt;1,A192,IF(D22=A191,A191,A193))</f>
        <v>geen toestel</v>
      </c>
      <c r="D22" s="52" t="str">
        <f>IF(B22&lt;2,A191,SUM(K29,K32,K35,K38))</f>
        <v>geen toestel</v>
      </c>
      <c r="E22" s="22" t="str">
        <f>IF(B22&gt;0,IF(AND(VLOOKUP($B$8,$B$196:$E$201,4,FALSE)=1,SUM(D29,D32,D35,D38)&gt;15),$C$189,""),"")</f>
        <v/>
      </c>
      <c r="F22" s="19"/>
      <c r="G22" s="20" t="str">
        <f>CONCATENATE(B14," kW")</f>
        <v>0 kW</v>
      </c>
      <c r="H22" s="20" t="str">
        <f>CONCATENATE(B15," kW")</f>
        <v>0 kW</v>
      </c>
      <c r="I22" s="19"/>
      <c r="J22" s="19"/>
      <c r="K22" s="55" t="s">
        <v>73</v>
      </c>
      <c r="L22" s="56"/>
    </row>
    <row r="23" spans="1:12" ht="13.8" thickBot="1" x14ac:dyDescent="0.3">
      <c r="A23" s="50" t="s">
        <v>21</v>
      </c>
      <c r="B23" s="131">
        <v>0</v>
      </c>
      <c r="C23" s="51" t="str">
        <f>IF(D23&lt;1,A192,IF(D23=A191,A191,A193))</f>
        <v>geen toestel</v>
      </c>
      <c r="D23" s="52" t="str">
        <f>IF(B23&lt;2,A191,SUM(K29,K32,K35,K38,K39))</f>
        <v>geen toestel</v>
      </c>
      <c r="E23" s="22" t="str">
        <f>IF(B23&gt;0,IF(AND(VLOOKUP($B$8,$B$196:$E$201,4,FALSE)=1,SUM(D29,D32,D35,D38,D39)&gt;15),$C$189,""),"")</f>
        <v/>
      </c>
      <c r="K23" s="57" t="s">
        <v>74</v>
      </c>
      <c r="L23" s="58"/>
    </row>
    <row r="24" spans="1:12" x14ac:dyDescent="0.25">
      <c r="A24" s="50" t="s">
        <v>22</v>
      </c>
      <c r="B24" s="131">
        <v>0</v>
      </c>
      <c r="C24" s="51" t="str">
        <f>IF(D24&lt;1,A192,IF(D24=A191,A191,A193))</f>
        <v>geen toestel</v>
      </c>
      <c r="D24" s="52" t="str">
        <f>IF(B24&lt;2,A191,SUM(K29,K32,K35,K38,K39,K40))</f>
        <v>geen toestel</v>
      </c>
      <c r="E24" s="22" t="str">
        <f>IF(B24&gt;0,IF(AND(VLOOKUP($B$8,$B$196:$E$201,4,FALSE)=1,SUM(D29,D32,D35,D38,D39,D40)&gt;15),$C$189,""),"")</f>
        <v/>
      </c>
    </row>
    <row r="25" spans="1:12" ht="13.8" thickBot="1" x14ac:dyDescent="0.3">
      <c r="A25" s="59" t="s">
        <v>23</v>
      </c>
      <c r="B25" s="132">
        <v>0</v>
      </c>
      <c r="C25" s="60" t="str">
        <f>IF(D25&lt;1,A192,IF(D25=A191,A191,A193))</f>
        <v>geen toestel</v>
      </c>
      <c r="D25" s="61" t="str">
        <f>IF(B25&lt;2,A191,SUM(K29,K32,K35,K38,K41))</f>
        <v>geen toestel</v>
      </c>
      <c r="E25" s="22" t="str">
        <f>IF(B25&gt;0,IF(AND(VLOOKUP($B$8,$B$196:$E$201,4,FALSE)=1,SUM(D29,D32,D35,D38,D41)&gt;15),$C$189,""),"")</f>
        <v/>
      </c>
      <c r="L25" s="139" t="str">
        <f>IF((MAX($L$29:$L$41)&gt;15),$A$194,"")</f>
        <v/>
      </c>
    </row>
    <row r="26" spans="1:12" ht="13.8" thickBot="1" x14ac:dyDescent="0.3">
      <c r="G26" s="27"/>
      <c r="H26" s="27"/>
      <c r="L26" s="140"/>
    </row>
    <row r="27" spans="1:12" x14ac:dyDescent="0.25">
      <c r="A27" s="62" t="s">
        <v>75</v>
      </c>
      <c r="B27" s="37" t="s">
        <v>76</v>
      </c>
      <c r="C27" s="63" t="s">
        <v>77</v>
      </c>
      <c r="D27" s="64" t="s">
        <v>78</v>
      </c>
      <c r="E27" s="63" t="s">
        <v>80</v>
      </c>
      <c r="F27" s="37" t="s">
        <v>83</v>
      </c>
      <c r="G27" s="63" t="s">
        <v>84</v>
      </c>
      <c r="H27" s="37" t="s">
        <v>87</v>
      </c>
      <c r="I27" s="65"/>
      <c r="J27" s="37" t="s">
        <v>198</v>
      </c>
      <c r="K27" s="37" t="s">
        <v>89</v>
      </c>
      <c r="L27" s="66" t="s">
        <v>91</v>
      </c>
    </row>
    <row r="28" spans="1:12" ht="13.8" thickBot="1" x14ac:dyDescent="0.3">
      <c r="A28" s="67"/>
      <c r="B28" s="43"/>
      <c r="C28" s="68" t="s">
        <v>188</v>
      </c>
      <c r="D28" s="69" t="s">
        <v>79</v>
      </c>
      <c r="E28" s="70" t="s">
        <v>81</v>
      </c>
      <c r="F28" s="41" t="s">
        <v>82</v>
      </c>
      <c r="G28" s="71" t="s">
        <v>85</v>
      </c>
      <c r="H28" s="41" t="s">
        <v>86</v>
      </c>
      <c r="I28" s="72"/>
      <c r="J28" s="41" t="s">
        <v>88</v>
      </c>
      <c r="K28" s="41" t="s">
        <v>90</v>
      </c>
      <c r="L28" s="73" t="s">
        <v>92</v>
      </c>
    </row>
    <row r="29" spans="1:12" x14ac:dyDescent="0.25">
      <c r="A29" s="74" t="s">
        <v>0</v>
      </c>
      <c r="B29" s="3" t="s">
        <v>93</v>
      </c>
      <c r="C29" s="133">
        <v>0</v>
      </c>
      <c r="D29" s="134">
        <v>0</v>
      </c>
      <c r="E29" s="75">
        <f>PRODUCT(G48,SUM(B13,B14,B15,B16,B17,B18,B19,B20,B21,B22,B23,B24,B25))</f>
        <v>0</v>
      </c>
      <c r="F29" s="76">
        <f>VLOOKUP($B29,$B$65:$C$187,2,FALSE)</f>
        <v>0</v>
      </c>
      <c r="G29" s="77" t="e">
        <f>ROUND(PRODUCT(22800,J48,(POWER(E29,1.8)),(POWER(F29,-4.8))),2)</f>
        <v>#DIV/0!</v>
      </c>
      <c r="H29" s="76">
        <f t="shared" ref="H29:H41" si="0">PRODUCT(C29,1.2)</f>
        <v>0</v>
      </c>
      <c r="I29" s="78"/>
      <c r="J29" s="79">
        <f>IF(VLOOKUP($B$8,$B$196:$E$201,4,FALSE)=1,PRODUCT(ABS(D29),$H$48),PRODUCT(D29,$H$48,-1))</f>
        <v>0</v>
      </c>
      <c r="K29" s="78" t="e">
        <f t="shared" ref="K29:K41" si="1">SUM((PRODUCT(G29,H29)),J29)</f>
        <v>#DIV/0!</v>
      </c>
      <c r="L29" s="80">
        <f>IF(E29=0,0,PRODUCT(353.7,E29,(POWER(F29,-2))))</f>
        <v>0</v>
      </c>
    </row>
    <row r="30" spans="1:12" x14ac:dyDescent="0.25">
      <c r="A30" s="50" t="s">
        <v>1</v>
      </c>
      <c r="B30" s="4" t="s">
        <v>93</v>
      </c>
      <c r="C30" s="133">
        <v>0</v>
      </c>
      <c r="D30" s="134">
        <v>0</v>
      </c>
      <c r="E30" s="81">
        <f>PRODUCT(G48,SUM(B14,B15))</f>
        <v>0</v>
      </c>
      <c r="F30" s="82">
        <f>VLOOKUP($B30,$B$65:$C$187,2,FALSE)</f>
        <v>0</v>
      </c>
      <c r="G30" s="83" t="e">
        <f>ROUND(PRODUCT(22800,J48,(POWER(E30,1.8)),(POWER(F30,-4.8))),2)</f>
        <v>#DIV/0!</v>
      </c>
      <c r="H30" s="82">
        <f t="shared" si="0"/>
        <v>0</v>
      </c>
      <c r="I30" s="84"/>
      <c r="J30" s="85">
        <f t="shared" ref="J30:J41" si="2">IF(VLOOKUP($B$8,$B$196:$E$201,4,FALSE)=1,PRODUCT(ABS(D30),$H$48),PRODUCT(D30,$H$48,-1))</f>
        <v>0</v>
      </c>
      <c r="K30" s="84" t="e">
        <f t="shared" si="1"/>
        <v>#DIV/0!</v>
      </c>
      <c r="L30" s="86">
        <f t="shared" ref="L30:L41" si="3">IF(E30=0,0,PRODUCT(353.7,E30,(POWER(F30,-2))))</f>
        <v>0</v>
      </c>
    </row>
    <row r="31" spans="1:12" x14ac:dyDescent="0.25">
      <c r="A31" s="50" t="s">
        <v>2</v>
      </c>
      <c r="B31" s="4" t="s">
        <v>93</v>
      </c>
      <c r="C31" s="133">
        <v>0</v>
      </c>
      <c r="D31" s="134">
        <v>0</v>
      </c>
      <c r="E31" s="81">
        <f>PRODUCT(G48,SUM(B15))</f>
        <v>0</v>
      </c>
      <c r="F31" s="82">
        <f t="shared" ref="F31:F40" si="4">VLOOKUP($B31,$B$65:$C$187,2,FALSE)</f>
        <v>0</v>
      </c>
      <c r="G31" s="83" t="e">
        <f>ROUND(PRODUCT(22800,J48,(POWER(E31,1.8)),(POWER(F31,-4.8))),2)</f>
        <v>#DIV/0!</v>
      </c>
      <c r="H31" s="82">
        <f t="shared" si="0"/>
        <v>0</v>
      </c>
      <c r="I31" s="84"/>
      <c r="J31" s="85">
        <f t="shared" si="2"/>
        <v>0</v>
      </c>
      <c r="K31" s="84" t="e">
        <f t="shared" si="1"/>
        <v>#DIV/0!</v>
      </c>
      <c r="L31" s="86">
        <f t="shared" si="3"/>
        <v>0</v>
      </c>
    </row>
    <row r="32" spans="1:12" x14ac:dyDescent="0.25">
      <c r="A32" s="50" t="s">
        <v>3</v>
      </c>
      <c r="B32" s="3" t="s">
        <v>93</v>
      </c>
      <c r="C32" s="133">
        <v>0</v>
      </c>
      <c r="D32" s="134">
        <v>0</v>
      </c>
      <c r="E32" s="81">
        <f>PRODUCT(G48,(SUM(B16,B17,B18,B19,B20,B21,B22,B23,B24,B25)))</f>
        <v>0</v>
      </c>
      <c r="F32" s="82">
        <f t="shared" si="4"/>
        <v>0</v>
      </c>
      <c r="G32" s="83" t="e">
        <f>ROUND(PRODUCT(22800,J48,(POWER(E32,1.8)),(POWER(F32,-4.8))),2)</f>
        <v>#DIV/0!</v>
      </c>
      <c r="H32" s="82">
        <f t="shared" si="0"/>
        <v>0</v>
      </c>
      <c r="I32" s="84"/>
      <c r="J32" s="85">
        <f t="shared" si="2"/>
        <v>0</v>
      </c>
      <c r="K32" s="84" t="e">
        <f t="shared" si="1"/>
        <v>#DIV/0!</v>
      </c>
      <c r="L32" s="86">
        <f t="shared" si="3"/>
        <v>0</v>
      </c>
    </row>
    <row r="33" spans="1:12" x14ac:dyDescent="0.25">
      <c r="A33" s="50" t="s">
        <v>4</v>
      </c>
      <c r="B33" s="3" t="s">
        <v>93</v>
      </c>
      <c r="C33" s="133">
        <v>0</v>
      </c>
      <c r="D33" s="134">
        <v>0</v>
      </c>
      <c r="E33" s="81">
        <f>PRODUCT(G48,(SUM(B17,B18)))</f>
        <v>0</v>
      </c>
      <c r="F33" s="82">
        <f t="shared" si="4"/>
        <v>0</v>
      </c>
      <c r="G33" s="83" t="e">
        <f>ROUND(PRODUCT(22800,J48,(POWER(E33,1.8)),(POWER(F33,-4.8))),2)</f>
        <v>#DIV/0!</v>
      </c>
      <c r="H33" s="82">
        <f t="shared" si="0"/>
        <v>0</v>
      </c>
      <c r="I33" s="84"/>
      <c r="J33" s="85">
        <f t="shared" si="2"/>
        <v>0</v>
      </c>
      <c r="K33" s="84" t="e">
        <f t="shared" si="1"/>
        <v>#DIV/0!</v>
      </c>
      <c r="L33" s="86">
        <f t="shared" si="3"/>
        <v>0</v>
      </c>
    </row>
    <row r="34" spans="1:12" x14ac:dyDescent="0.25">
      <c r="A34" s="50" t="s">
        <v>5</v>
      </c>
      <c r="B34" s="3" t="s">
        <v>93</v>
      </c>
      <c r="C34" s="133">
        <v>0</v>
      </c>
      <c r="D34" s="134">
        <v>0</v>
      </c>
      <c r="E34" s="81">
        <f>PRODUCT(G48,SUM(B18))</f>
        <v>0</v>
      </c>
      <c r="F34" s="82">
        <f t="shared" si="4"/>
        <v>0</v>
      </c>
      <c r="G34" s="83" t="e">
        <f>ROUND(PRODUCT(22800,J48,(POWER(E34,1.8)),(POWER(F34,-4.8))),2)</f>
        <v>#DIV/0!</v>
      </c>
      <c r="H34" s="82">
        <f t="shared" si="0"/>
        <v>0</v>
      </c>
      <c r="I34" s="84"/>
      <c r="J34" s="85">
        <f t="shared" si="2"/>
        <v>0</v>
      </c>
      <c r="K34" s="84" t="e">
        <f t="shared" si="1"/>
        <v>#DIV/0!</v>
      </c>
      <c r="L34" s="86">
        <f t="shared" si="3"/>
        <v>0</v>
      </c>
    </row>
    <row r="35" spans="1:12" x14ac:dyDescent="0.25">
      <c r="A35" s="50" t="s">
        <v>6</v>
      </c>
      <c r="B35" s="3" t="s">
        <v>93</v>
      </c>
      <c r="C35" s="133">
        <v>0</v>
      </c>
      <c r="D35" s="134">
        <v>0</v>
      </c>
      <c r="E35" s="81">
        <f>PRODUCT(G48,(SUM(B19,B20,B21,B22,B23,B24,B25)))</f>
        <v>0</v>
      </c>
      <c r="F35" s="82">
        <f t="shared" si="4"/>
        <v>0</v>
      </c>
      <c r="G35" s="83" t="e">
        <f>ROUND(PRODUCT(22800,J48,(POWER(E35,1.8)),(POWER(F35,-4.8))),2)</f>
        <v>#DIV/0!</v>
      </c>
      <c r="H35" s="82">
        <f t="shared" si="0"/>
        <v>0</v>
      </c>
      <c r="I35" s="84"/>
      <c r="J35" s="85">
        <f t="shared" si="2"/>
        <v>0</v>
      </c>
      <c r="K35" s="84" t="e">
        <f t="shared" si="1"/>
        <v>#DIV/0!</v>
      </c>
      <c r="L35" s="86">
        <f t="shared" si="3"/>
        <v>0</v>
      </c>
    </row>
    <row r="36" spans="1:12" x14ac:dyDescent="0.25">
      <c r="A36" s="50" t="s">
        <v>7</v>
      </c>
      <c r="B36" s="3" t="s">
        <v>93</v>
      </c>
      <c r="C36" s="133">
        <v>0</v>
      </c>
      <c r="D36" s="134">
        <v>0</v>
      </c>
      <c r="E36" s="81">
        <f>PRODUCT(G48,(SUM(B20,B21)))</f>
        <v>0</v>
      </c>
      <c r="F36" s="82">
        <f t="shared" si="4"/>
        <v>0</v>
      </c>
      <c r="G36" s="83" t="e">
        <f>ROUND(PRODUCT(22800,J48,(POWER(E36,1.8)),(POWER(F36,-4.8))),2)</f>
        <v>#DIV/0!</v>
      </c>
      <c r="H36" s="82">
        <f t="shared" si="0"/>
        <v>0</v>
      </c>
      <c r="I36" s="84"/>
      <c r="J36" s="85">
        <f t="shared" si="2"/>
        <v>0</v>
      </c>
      <c r="K36" s="84" t="e">
        <f t="shared" si="1"/>
        <v>#DIV/0!</v>
      </c>
      <c r="L36" s="86">
        <f t="shared" si="3"/>
        <v>0</v>
      </c>
    </row>
    <row r="37" spans="1:12" x14ac:dyDescent="0.25">
      <c r="A37" s="50" t="s">
        <v>8</v>
      </c>
      <c r="B37" s="5" t="s">
        <v>93</v>
      </c>
      <c r="C37" s="135">
        <v>0</v>
      </c>
      <c r="D37" s="136">
        <v>0</v>
      </c>
      <c r="E37" s="81">
        <f>PRODUCT(G48,SUM(B21))</f>
        <v>0</v>
      </c>
      <c r="F37" s="82">
        <f t="shared" si="4"/>
        <v>0</v>
      </c>
      <c r="G37" s="83" t="e">
        <f>ROUND(PRODUCT(22800,J48,(POWER(E37,1.8)),(POWER(F37,-4.8))),2)</f>
        <v>#DIV/0!</v>
      </c>
      <c r="H37" s="82">
        <f t="shared" si="0"/>
        <v>0</v>
      </c>
      <c r="I37" s="84"/>
      <c r="J37" s="85">
        <f t="shared" si="2"/>
        <v>0</v>
      </c>
      <c r="K37" s="84" t="e">
        <f t="shared" si="1"/>
        <v>#DIV/0!</v>
      </c>
      <c r="L37" s="86">
        <f t="shared" si="3"/>
        <v>0</v>
      </c>
    </row>
    <row r="38" spans="1:12" x14ac:dyDescent="0.25">
      <c r="A38" s="50" t="s">
        <v>9</v>
      </c>
      <c r="B38" s="5" t="s">
        <v>93</v>
      </c>
      <c r="C38" s="135">
        <v>0</v>
      </c>
      <c r="D38" s="136">
        <v>0</v>
      </c>
      <c r="E38" s="81">
        <f>PRODUCT(G48,(SUM(B22,B23,B24,B25)))</f>
        <v>0</v>
      </c>
      <c r="F38" s="82">
        <f t="shared" si="4"/>
        <v>0</v>
      </c>
      <c r="G38" s="83" t="e">
        <f>ROUND(PRODUCT(22800,J48,(POWER(E38,1.8)),(POWER(F38,-4.8))),2)</f>
        <v>#DIV/0!</v>
      </c>
      <c r="H38" s="82">
        <f t="shared" si="0"/>
        <v>0</v>
      </c>
      <c r="I38" s="84"/>
      <c r="J38" s="85">
        <f t="shared" si="2"/>
        <v>0</v>
      </c>
      <c r="K38" s="84" t="e">
        <f t="shared" si="1"/>
        <v>#DIV/0!</v>
      </c>
      <c r="L38" s="86">
        <f t="shared" si="3"/>
        <v>0</v>
      </c>
    </row>
    <row r="39" spans="1:12" x14ac:dyDescent="0.25">
      <c r="A39" s="50" t="s">
        <v>10</v>
      </c>
      <c r="B39" s="5" t="s">
        <v>93</v>
      </c>
      <c r="C39" s="135">
        <v>0</v>
      </c>
      <c r="D39" s="136">
        <v>0</v>
      </c>
      <c r="E39" s="81">
        <f>PRODUCT(G48,(SUM(B23,B24)))</f>
        <v>0</v>
      </c>
      <c r="F39" s="82">
        <f t="shared" si="4"/>
        <v>0</v>
      </c>
      <c r="G39" s="83" t="e">
        <f>ROUND(PRODUCT(22800,J48,(POWER(E39,1.8)),(POWER(F39,-4.8))),2)</f>
        <v>#DIV/0!</v>
      </c>
      <c r="H39" s="82">
        <f t="shared" si="0"/>
        <v>0</v>
      </c>
      <c r="I39" s="84"/>
      <c r="J39" s="85">
        <f t="shared" si="2"/>
        <v>0</v>
      </c>
      <c r="K39" s="84" t="e">
        <f t="shared" si="1"/>
        <v>#DIV/0!</v>
      </c>
      <c r="L39" s="86">
        <f t="shared" si="3"/>
        <v>0</v>
      </c>
    </row>
    <row r="40" spans="1:12" x14ac:dyDescent="0.25">
      <c r="A40" s="50" t="s">
        <v>11</v>
      </c>
      <c r="B40" s="5" t="s">
        <v>93</v>
      </c>
      <c r="C40" s="135">
        <v>0</v>
      </c>
      <c r="D40" s="136">
        <v>0</v>
      </c>
      <c r="E40" s="81">
        <f>PRODUCT(G48,SUM(B24))</f>
        <v>0</v>
      </c>
      <c r="F40" s="82">
        <f t="shared" si="4"/>
        <v>0</v>
      </c>
      <c r="G40" s="83" t="e">
        <f>ROUND(PRODUCT(22800,J48,(POWER(E40,1.8)),(POWER(F40,-4.8))),2)</f>
        <v>#DIV/0!</v>
      </c>
      <c r="H40" s="82">
        <f t="shared" si="0"/>
        <v>0</v>
      </c>
      <c r="I40" s="84"/>
      <c r="J40" s="85">
        <f t="shared" si="2"/>
        <v>0</v>
      </c>
      <c r="K40" s="84" t="e">
        <f t="shared" si="1"/>
        <v>#DIV/0!</v>
      </c>
      <c r="L40" s="86">
        <f t="shared" si="3"/>
        <v>0</v>
      </c>
    </row>
    <row r="41" spans="1:12" ht="13.8" thickBot="1" x14ac:dyDescent="0.3">
      <c r="A41" s="59" t="s">
        <v>12</v>
      </c>
      <c r="B41" s="6" t="s">
        <v>93</v>
      </c>
      <c r="C41" s="137">
        <v>0</v>
      </c>
      <c r="D41" s="138">
        <v>0</v>
      </c>
      <c r="E41" s="87">
        <f>PRODUCT(G48,SUM(B25))</f>
        <v>0</v>
      </c>
      <c r="F41" s="88">
        <f>VLOOKUP($B41,$B$65:$C$187,2,FALSE)</f>
        <v>0</v>
      </c>
      <c r="G41" s="89" t="e">
        <f>ROUND(PRODUCT(22800,J48,(POWER(E41,1.8)),(POWER(F41,-4.8))),2)</f>
        <v>#DIV/0!</v>
      </c>
      <c r="H41" s="88">
        <f t="shared" si="0"/>
        <v>0</v>
      </c>
      <c r="I41" s="90"/>
      <c r="J41" s="91">
        <f t="shared" si="2"/>
        <v>0</v>
      </c>
      <c r="K41" s="90" t="e">
        <f t="shared" si="1"/>
        <v>#DIV/0!</v>
      </c>
      <c r="L41" s="92">
        <f t="shared" si="3"/>
        <v>0</v>
      </c>
    </row>
    <row r="42" spans="1:12" s="27" customFormat="1" x14ac:dyDescent="0.25">
      <c r="C42" s="18"/>
      <c r="D42" s="18"/>
      <c r="E42" s="18"/>
      <c r="L42" s="93"/>
    </row>
    <row r="43" spans="1:12" s="27" customFormat="1" ht="13.8" hidden="1" thickBot="1" x14ac:dyDescent="0.3">
      <c r="C43" s="18"/>
      <c r="D43" s="18"/>
      <c r="E43" s="18"/>
    </row>
    <row r="44" spans="1:12" s="27" customFormat="1" ht="13.8" hidden="1" thickBot="1" x14ac:dyDescent="0.3">
      <c r="A44" s="94" t="s">
        <v>28</v>
      </c>
      <c r="B44" s="95"/>
      <c r="C44" s="96" t="s">
        <v>29</v>
      </c>
      <c r="D44" s="18"/>
      <c r="E44" s="18"/>
      <c r="F44" s="97"/>
      <c r="G44" s="98" t="s">
        <v>36</v>
      </c>
      <c r="H44" s="98" t="s">
        <v>34</v>
      </c>
      <c r="I44" s="98"/>
      <c r="J44" s="98" t="s">
        <v>35</v>
      </c>
    </row>
    <row r="45" spans="1:12" s="27" customFormat="1" hidden="1" x14ac:dyDescent="0.25">
      <c r="A45" s="99" t="s">
        <v>31</v>
      </c>
      <c r="B45" s="100"/>
      <c r="C45" s="101" t="s">
        <v>30</v>
      </c>
      <c r="D45" s="18"/>
      <c r="E45" s="18"/>
      <c r="F45" s="97"/>
      <c r="G45" s="97" t="s">
        <v>33</v>
      </c>
      <c r="H45" s="97" t="s">
        <v>32</v>
      </c>
      <c r="I45" s="97"/>
      <c r="J45" s="97" t="s">
        <v>53</v>
      </c>
    </row>
    <row r="46" spans="1:12" s="27" customFormat="1" hidden="1" x14ac:dyDescent="0.25">
      <c r="A46" s="102" t="s">
        <v>56</v>
      </c>
      <c r="B46" s="103"/>
      <c r="C46" s="104" t="s">
        <v>27</v>
      </c>
      <c r="D46" s="18"/>
      <c r="E46" s="18"/>
      <c r="F46" s="97" t="s">
        <v>19</v>
      </c>
      <c r="G46" s="105">
        <v>0.11</v>
      </c>
      <c r="H46" s="105">
        <v>4.8000000000000001E-2</v>
      </c>
      <c r="I46" s="97"/>
      <c r="J46" s="105">
        <v>0.625</v>
      </c>
    </row>
    <row r="47" spans="1:12" s="27" customFormat="1" ht="13.8" hidden="1" thickBot="1" x14ac:dyDescent="0.3">
      <c r="A47" s="106" t="s">
        <v>55</v>
      </c>
      <c r="B47" s="107"/>
      <c r="C47" s="108" t="s">
        <v>26</v>
      </c>
      <c r="D47" s="18"/>
      <c r="E47" s="18"/>
      <c r="F47" s="97" t="s">
        <v>21</v>
      </c>
      <c r="G47" s="105">
        <v>0.13</v>
      </c>
      <c r="H47" s="105">
        <v>4.5999999999999999E-2</v>
      </c>
      <c r="I47" s="97"/>
      <c r="J47" s="105">
        <v>0.64400000000000002</v>
      </c>
    </row>
    <row r="48" spans="1:12" s="27" customFormat="1" hidden="1" outlineLevel="1" x14ac:dyDescent="0.25">
      <c r="C48" s="18"/>
      <c r="D48" s="18"/>
      <c r="E48" s="18"/>
      <c r="F48" s="109" t="s">
        <v>37</v>
      </c>
      <c r="G48" s="110">
        <f>IF(B9=A189,G46,G47)</f>
        <v>0.13</v>
      </c>
      <c r="H48" s="110">
        <f>IF(B9=A189,H46,H47)</f>
        <v>4.5999999999999999E-2</v>
      </c>
      <c r="I48" s="109"/>
      <c r="J48" s="110">
        <v>0.64400000000000002</v>
      </c>
      <c r="K48" s="27" t="s">
        <v>54</v>
      </c>
    </row>
    <row r="49" spans="1:8" s="27" customFormat="1" outlineLevel="1" x14ac:dyDescent="0.25">
      <c r="A49" s="111" t="s">
        <v>189</v>
      </c>
      <c r="C49" s="18"/>
      <c r="D49" s="18"/>
      <c r="E49" s="18"/>
    </row>
    <row r="50" spans="1:8" s="27" customFormat="1" outlineLevel="1" x14ac:dyDescent="0.25">
      <c r="A50" s="27" t="s">
        <v>195</v>
      </c>
      <c r="C50" s="18"/>
      <c r="D50" s="18"/>
      <c r="E50" s="18"/>
    </row>
    <row r="51" spans="1:8" s="27" customFormat="1" outlineLevel="1" x14ac:dyDescent="0.25">
      <c r="A51" s="27" t="s">
        <v>190</v>
      </c>
      <c r="C51" s="18"/>
      <c r="D51" s="18"/>
      <c r="E51" s="18"/>
    </row>
    <row r="52" spans="1:8" s="27" customFormat="1" outlineLevel="1" x14ac:dyDescent="0.25">
      <c r="A52" s="27" t="s">
        <v>191</v>
      </c>
      <c r="C52" s="18"/>
      <c r="D52" s="18"/>
      <c r="E52" s="18"/>
    </row>
    <row r="53" spans="1:8" s="27" customFormat="1" outlineLevel="1" x14ac:dyDescent="0.25">
      <c r="A53" s="19" t="s">
        <v>192</v>
      </c>
      <c r="C53" s="18"/>
      <c r="D53" s="18"/>
      <c r="E53" s="18"/>
    </row>
    <row r="54" spans="1:8" s="27" customFormat="1" outlineLevel="1" x14ac:dyDescent="0.25">
      <c r="A54" s="27" t="s">
        <v>193</v>
      </c>
      <c r="H54" s="18"/>
    </row>
    <row r="55" spans="1:8" s="27" customFormat="1" outlineLevel="1" x14ac:dyDescent="0.25">
      <c r="A55" s="27" t="s">
        <v>194</v>
      </c>
      <c r="H55" s="18"/>
    </row>
    <row r="56" spans="1:8" s="27" customFormat="1" outlineLevel="1" x14ac:dyDescent="0.25">
      <c r="H56" s="18"/>
    </row>
    <row r="57" spans="1:8" s="27" customFormat="1" outlineLevel="1" x14ac:dyDescent="0.25">
      <c r="H57" s="18"/>
    </row>
    <row r="58" spans="1:8" s="27" customFormat="1" outlineLevel="1" x14ac:dyDescent="0.25">
      <c r="H58" s="18"/>
    </row>
    <row r="59" spans="1:8" s="27" customFormat="1" outlineLevel="1" x14ac:dyDescent="0.25">
      <c r="H59" s="18"/>
    </row>
    <row r="60" spans="1:8" s="27" customFormat="1" outlineLevel="1" x14ac:dyDescent="0.25">
      <c r="H60" s="18"/>
    </row>
    <row r="61" spans="1:8" s="27" customFormat="1" outlineLevel="1" x14ac:dyDescent="0.25"/>
    <row r="62" spans="1:8" s="27" customFormat="1" hidden="1" outlineLevel="1" x14ac:dyDescent="0.25"/>
    <row r="63" spans="1:8" s="27" customFormat="1" hidden="1" outlineLevel="1" x14ac:dyDescent="0.25">
      <c r="A63" s="112"/>
      <c r="G63" s="29"/>
    </row>
    <row r="64" spans="1:8" s="27" customFormat="1" hidden="1" outlineLevel="1" x14ac:dyDescent="0.25">
      <c r="A64" s="98"/>
      <c r="B64" s="98" t="s">
        <v>38</v>
      </c>
      <c r="C64" s="98" t="s">
        <v>39</v>
      </c>
      <c r="D64" s="98" t="s">
        <v>45</v>
      </c>
      <c r="E64" s="98" t="s">
        <v>44</v>
      </c>
      <c r="F64" s="98" t="s">
        <v>46</v>
      </c>
      <c r="G64" s="98" t="s">
        <v>46</v>
      </c>
      <c r="H64" s="98" t="s">
        <v>46</v>
      </c>
    </row>
    <row r="65" spans="1:8" s="27" customFormat="1" hidden="1" outlineLevel="1" x14ac:dyDescent="0.25">
      <c r="A65" s="105"/>
      <c r="B65" s="105" t="s">
        <v>93</v>
      </c>
      <c r="C65" s="113">
        <v>0</v>
      </c>
      <c r="D65" s="97"/>
      <c r="E65" s="97"/>
      <c r="F65" s="97"/>
      <c r="G65" s="114"/>
      <c r="H65" s="97"/>
    </row>
    <row r="66" spans="1:8" s="27" customFormat="1" hidden="1" outlineLevel="1" x14ac:dyDescent="0.25">
      <c r="A66" s="105"/>
      <c r="B66" s="105" t="s">
        <v>94</v>
      </c>
      <c r="C66" s="113">
        <v>5</v>
      </c>
      <c r="D66" s="97"/>
      <c r="E66" s="97"/>
      <c r="F66" s="97" t="s">
        <v>41</v>
      </c>
      <c r="G66" s="114"/>
      <c r="H66" s="97"/>
    </row>
    <row r="67" spans="1:8" s="27" customFormat="1" hidden="1" outlineLevel="1" x14ac:dyDescent="0.25">
      <c r="A67" s="105"/>
      <c r="B67" s="105" t="s">
        <v>95</v>
      </c>
      <c r="C67" s="113">
        <v>7.7</v>
      </c>
      <c r="D67" s="97"/>
      <c r="E67" s="97"/>
      <c r="F67" s="97" t="s">
        <v>41</v>
      </c>
      <c r="G67" s="97"/>
      <c r="H67" s="97"/>
    </row>
    <row r="68" spans="1:8" s="27" customFormat="1" hidden="1" outlineLevel="1" x14ac:dyDescent="0.25">
      <c r="A68" s="105"/>
      <c r="B68" s="105" t="s">
        <v>96</v>
      </c>
      <c r="C68" s="113">
        <v>11.4</v>
      </c>
      <c r="D68" s="97"/>
      <c r="E68" s="97"/>
      <c r="F68" s="97" t="s">
        <v>41</v>
      </c>
      <c r="G68" s="97"/>
      <c r="H68" s="97"/>
    </row>
    <row r="69" spans="1:8" s="27" customFormat="1" hidden="1" outlineLevel="1" x14ac:dyDescent="0.25">
      <c r="A69" s="105"/>
      <c r="B69" s="105" t="s">
        <v>97</v>
      </c>
      <c r="C69" s="113">
        <v>14.9</v>
      </c>
      <c r="D69" s="97"/>
      <c r="E69" s="97"/>
      <c r="F69" s="97" t="s">
        <v>41</v>
      </c>
      <c r="G69" s="97"/>
      <c r="H69" s="97" t="s">
        <v>43</v>
      </c>
    </row>
    <row r="70" spans="1:8" s="27" customFormat="1" hidden="1" outlineLevel="1" x14ac:dyDescent="0.25">
      <c r="A70" s="105"/>
      <c r="B70" s="105" t="s">
        <v>98</v>
      </c>
      <c r="C70" s="113">
        <v>20.5</v>
      </c>
      <c r="D70" s="97"/>
      <c r="E70" s="97"/>
      <c r="F70" s="97" t="s">
        <v>41</v>
      </c>
      <c r="G70" s="97"/>
      <c r="H70" s="97" t="s">
        <v>43</v>
      </c>
    </row>
    <row r="71" spans="1:8" s="27" customFormat="1" hidden="1" outlineLevel="1" x14ac:dyDescent="0.25">
      <c r="A71" s="105"/>
      <c r="B71" s="105" t="s">
        <v>99</v>
      </c>
      <c r="C71" s="113">
        <v>25.7</v>
      </c>
      <c r="D71" s="97"/>
      <c r="E71" s="97"/>
      <c r="F71" s="97" t="s">
        <v>41</v>
      </c>
      <c r="G71" s="97"/>
      <c r="H71" s="97" t="s">
        <v>43</v>
      </c>
    </row>
    <row r="72" spans="1:8" s="27" customFormat="1" hidden="1" outlineLevel="1" x14ac:dyDescent="0.25">
      <c r="A72" s="105"/>
      <c r="B72" s="105" t="s">
        <v>100</v>
      </c>
      <c r="C72" s="113">
        <v>34.299999999999997</v>
      </c>
      <c r="D72" s="97"/>
      <c r="E72" s="97"/>
      <c r="F72" s="97" t="s">
        <v>41</v>
      </c>
      <c r="G72" s="97"/>
      <c r="H72" s="97" t="s">
        <v>43</v>
      </c>
    </row>
    <row r="73" spans="1:8" s="27" customFormat="1" hidden="1" outlineLevel="1" x14ac:dyDescent="0.25">
      <c r="A73" s="105"/>
      <c r="B73" s="105" t="s">
        <v>101</v>
      </c>
      <c r="C73" s="113">
        <v>40.299999999999997</v>
      </c>
      <c r="D73" s="97"/>
      <c r="E73" s="97"/>
      <c r="F73" s="97" t="s">
        <v>41</v>
      </c>
      <c r="G73" s="97"/>
      <c r="H73" s="97" t="s">
        <v>43</v>
      </c>
    </row>
    <row r="74" spans="1:8" s="27" customFormat="1" hidden="1" outlineLevel="1" x14ac:dyDescent="0.25">
      <c r="A74" s="105"/>
      <c r="B74" s="105" t="s">
        <v>102</v>
      </c>
      <c r="C74" s="113">
        <v>51.3</v>
      </c>
      <c r="D74" s="97"/>
      <c r="E74" s="97"/>
      <c r="F74" s="97" t="s">
        <v>41</v>
      </c>
      <c r="G74" s="97"/>
      <c r="H74" s="97" t="s">
        <v>43</v>
      </c>
    </row>
    <row r="75" spans="1:8" s="27" customFormat="1" hidden="1" outlineLevel="1" x14ac:dyDescent="0.25">
      <c r="A75" s="105"/>
      <c r="B75" s="105" t="s">
        <v>103</v>
      </c>
      <c r="C75" s="115">
        <f>D75-E75-E75</f>
        <v>69.699999999999989</v>
      </c>
      <c r="D75" s="97">
        <v>76.099999999999994</v>
      </c>
      <c r="E75" s="97">
        <v>3.2</v>
      </c>
      <c r="F75" s="97" t="s">
        <v>42</v>
      </c>
      <c r="G75" s="97"/>
      <c r="H75" s="97"/>
    </row>
    <row r="76" spans="1:8" s="27" customFormat="1" hidden="1" outlineLevel="1" x14ac:dyDescent="0.25">
      <c r="A76" s="105"/>
      <c r="B76" s="105" t="s">
        <v>104</v>
      </c>
      <c r="C76" s="115">
        <f t="shared" ref="C76:C80" si="5">D76-E76-E76</f>
        <v>82.5</v>
      </c>
      <c r="D76" s="97">
        <v>88.9</v>
      </c>
      <c r="E76" s="97">
        <v>3.2</v>
      </c>
      <c r="F76" s="97" t="s">
        <v>42</v>
      </c>
      <c r="G76" s="97"/>
      <c r="H76" s="97"/>
    </row>
    <row r="77" spans="1:8" s="27" customFormat="1" hidden="1" outlineLevel="1" x14ac:dyDescent="0.25">
      <c r="A77" s="105"/>
      <c r="B77" s="105" t="s">
        <v>105</v>
      </c>
      <c r="C77" s="115">
        <f>D77-E77-E77</f>
        <v>94.4</v>
      </c>
      <c r="D77" s="97">
        <v>101.6</v>
      </c>
      <c r="E77" s="97">
        <v>3.6</v>
      </c>
      <c r="F77" s="97" t="s">
        <v>42</v>
      </c>
      <c r="G77" s="97"/>
      <c r="H77" s="97"/>
    </row>
    <row r="78" spans="1:8" s="27" customFormat="1" hidden="1" outlineLevel="1" x14ac:dyDescent="0.25">
      <c r="A78" s="105"/>
      <c r="B78" s="105" t="s">
        <v>106</v>
      </c>
      <c r="C78" s="115">
        <f t="shared" si="5"/>
        <v>107.10000000000001</v>
      </c>
      <c r="D78" s="97">
        <v>114.3</v>
      </c>
      <c r="E78" s="97">
        <v>3.6</v>
      </c>
      <c r="F78" s="97" t="s">
        <v>42</v>
      </c>
      <c r="G78" s="97"/>
      <c r="H78" s="97"/>
    </row>
    <row r="79" spans="1:8" s="27" customFormat="1" hidden="1" outlineLevel="1" x14ac:dyDescent="0.25">
      <c r="A79" s="97"/>
      <c r="B79" s="105" t="s">
        <v>107</v>
      </c>
      <c r="C79" s="115">
        <f t="shared" si="5"/>
        <v>130.69999999999999</v>
      </c>
      <c r="D79" s="97">
        <v>139.69999999999999</v>
      </c>
      <c r="E79" s="97">
        <v>4.5</v>
      </c>
      <c r="F79" s="97" t="s">
        <v>42</v>
      </c>
      <c r="G79" s="97"/>
      <c r="H79" s="97"/>
    </row>
    <row r="80" spans="1:8" s="27" customFormat="1" hidden="1" outlineLevel="1" x14ac:dyDescent="0.25">
      <c r="A80" s="105"/>
      <c r="B80" s="105" t="s">
        <v>108</v>
      </c>
      <c r="C80" s="115">
        <f t="shared" si="5"/>
        <v>156.1</v>
      </c>
      <c r="D80" s="97">
        <v>165.1</v>
      </c>
      <c r="E80" s="97">
        <v>4.5</v>
      </c>
      <c r="F80" s="97" t="s">
        <v>42</v>
      </c>
      <c r="G80" s="97"/>
      <c r="H80" s="97"/>
    </row>
    <row r="81" spans="1:12" s="27" customFormat="1" hidden="1" outlineLevel="1" x14ac:dyDescent="0.25">
      <c r="A81" s="105"/>
      <c r="B81" s="105" t="s">
        <v>109</v>
      </c>
      <c r="C81" s="113">
        <v>210.1</v>
      </c>
      <c r="D81" s="97"/>
      <c r="E81" s="97"/>
      <c r="F81" s="97" t="s">
        <v>47</v>
      </c>
      <c r="G81" s="97" t="s">
        <v>48</v>
      </c>
      <c r="H81" s="97"/>
    </row>
    <row r="82" spans="1:12" s="27" customFormat="1" hidden="1" outlineLevel="1" x14ac:dyDescent="0.25">
      <c r="A82" s="105"/>
      <c r="B82" s="105" t="s">
        <v>110</v>
      </c>
      <c r="C82" s="113">
        <v>263</v>
      </c>
      <c r="D82" s="97"/>
      <c r="E82" s="97"/>
      <c r="F82" s="97" t="s">
        <v>47</v>
      </c>
      <c r="G82" s="97" t="s">
        <v>48</v>
      </c>
      <c r="H82" s="97"/>
    </row>
    <row r="83" spans="1:12" s="27" customFormat="1" hidden="1" outlineLevel="1" x14ac:dyDescent="0.25">
      <c r="A83" s="105"/>
      <c r="B83" s="105" t="s">
        <v>111</v>
      </c>
      <c r="C83" s="113">
        <v>312.7</v>
      </c>
      <c r="D83" s="97"/>
      <c r="E83" s="97"/>
      <c r="F83" s="97" t="s">
        <v>47</v>
      </c>
      <c r="G83" s="97" t="s">
        <v>48</v>
      </c>
      <c r="H83" s="97"/>
    </row>
    <row r="84" spans="1:12" s="27" customFormat="1" hidden="1" outlineLevel="1" x14ac:dyDescent="0.25">
      <c r="A84" s="105"/>
      <c r="B84" s="105" t="s">
        <v>112</v>
      </c>
      <c r="C84" s="113">
        <v>344.4</v>
      </c>
      <c r="D84" s="97"/>
      <c r="E84" s="97"/>
      <c r="F84" s="97" t="s">
        <v>47</v>
      </c>
      <c r="G84" s="97" t="s">
        <v>48</v>
      </c>
      <c r="H84" s="97"/>
    </row>
    <row r="85" spans="1:12" s="27" customFormat="1" hidden="1" outlineLevel="1" x14ac:dyDescent="0.25">
      <c r="A85" s="105"/>
      <c r="B85" s="105" t="s">
        <v>113</v>
      </c>
      <c r="C85" s="113">
        <v>393.8</v>
      </c>
      <c r="D85" s="97"/>
      <c r="E85" s="97"/>
      <c r="F85" s="97" t="s">
        <v>47</v>
      </c>
      <c r="G85" s="97" t="s">
        <v>48</v>
      </c>
      <c r="H85" s="97"/>
    </row>
    <row r="86" spans="1:12" s="27" customFormat="1" hidden="1" outlineLevel="1" x14ac:dyDescent="0.25">
      <c r="A86" s="105"/>
      <c r="B86" s="105" t="s">
        <v>114</v>
      </c>
      <c r="C86" s="113">
        <v>495.4</v>
      </c>
      <c r="D86" s="97"/>
      <c r="E86" s="97"/>
      <c r="F86" s="97" t="s">
        <v>47</v>
      </c>
      <c r="G86" s="97" t="s">
        <v>48</v>
      </c>
      <c r="H86" s="97"/>
    </row>
    <row r="87" spans="1:12" s="27" customFormat="1" hidden="1" outlineLevel="1" x14ac:dyDescent="0.25">
      <c r="A87" s="105"/>
      <c r="B87" s="105" t="s">
        <v>115</v>
      </c>
      <c r="C87" s="113">
        <v>597.4</v>
      </c>
      <c r="D87" s="97"/>
      <c r="E87" s="97"/>
      <c r="F87" s="97" t="s">
        <v>47</v>
      </c>
      <c r="G87" s="97" t="s">
        <v>48</v>
      </c>
      <c r="H87" s="97"/>
    </row>
    <row r="88" spans="1:12" s="27" customFormat="1" hidden="1" outlineLevel="1" x14ac:dyDescent="0.25">
      <c r="A88" s="105"/>
      <c r="B88" s="105" t="s">
        <v>116</v>
      </c>
      <c r="C88" s="113">
        <v>696.8</v>
      </c>
      <c r="D88" s="97"/>
      <c r="E88" s="97"/>
      <c r="F88" s="97" t="s">
        <v>47</v>
      </c>
      <c r="G88" s="97" t="s">
        <v>48</v>
      </c>
      <c r="H88" s="97"/>
    </row>
    <row r="89" spans="1:12" s="27" customFormat="1" hidden="1" outlineLevel="1" x14ac:dyDescent="0.25">
      <c r="A89" s="105"/>
      <c r="B89" s="105" t="s">
        <v>117</v>
      </c>
      <c r="C89" s="113">
        <v>797</v>
      </c>
      <c r="D89" s="97"/>
      <c r="E89" s="97"/>
      <c r="F89" s="97" t="s">
        <v>47</v>
      </c>
      <c r="G89" s="97" t="s">
        <v>48</v>
      </c>
      <c r="H89" s="97"/>
    </row>
    <row r="90" spans="1:12" s="27" customFormat="1" hidden="1" outlineLevel="1" x14ac:dyDescent="0.25">
      <c r="A90" s="105"/>
      <c r="B90" s="105" t="s">
        <v>118</v>
      </c>
      <c r="C90" s="105">
        <v>16.100000000000001</v>
      </c>
      <c r="D90" s="97"/>
      <c r="E90" s="97"/>
      <c r="F90" s="97" t="s">
        <v>43</v>
      </c>
      <c r="G90" s="97"/>
      <c r="H90" s="97"/>
    </row>
    <row r="91" spans="1:12" s="27" customFormat="1" hidden="1" outlineLevel="1" x14ac:dyDescent="0.25">
      <c r="A91" s="105"/>
      <c r="B91" s="105" t="s">
        <v>119</v>
      </c>
      <c r="C91" s="105">
        <v>21.7</v>
      </c>
      <c r="D91" s="97"/>
      <c r="E91" s="97"/>
      <c r="F91" s="97" t="s">
        <v>43</v>
      </c>
      <c r="G91" s="97"/>
      <c r="H91" s="97"/>
    </row>
    <row r="92" spans="1:12" s="27" customFormat="1" hidden="1" outlineLevel="1" x14ac:dyDescent="0.25">
      <c r="A92" s="105"/>
      <c r="B92" s="105" t="s">
        <v>120</v>
      </c>
      <c r="C92" s="105">
        <v>27.3</v>
      </c>
      <c r="D92" s="97"/>
      <c r="E92" s="97"/>
      <c r="F92" s="97" t="s">
        <v>43</v>
      </c>
      <c r="G92" s="97"/>
      <c r="H92" s="97"/>
      <c r="J92" s="19"/>
      <c r="K92" s="19"/>
      <c r="L92" s="19"/>
    </row>
    <row r="93" spans="1:12" s="27" customFormat="1" hidden="1" outlineLevel="1" x14ac:dyDescent="0.25">
      <c r="A93" s="105"/>
      <c r="B93" s="105" t="s">
        <v>121</v>
      </c>
      <c r="C93" s="105">
        <v>36</v>
      </c>
      <c r="D93" s="97"/>
      <c r="E93" s="97"/>
      <c r="F93" s="97" t="s">
        <v>43</v>
      </c>
      <c r="G93" s="97"/>
      <c r="H93" s="97"/>
      <c r="J93" s="19"/>
      <c r="K93" s="19"/>
      <c r="L93" s="19"/>
    </row>
    <row r="94" spans="1:12" s="27" customFormat="1" hidden="1" outlineLevel="1" x14ac:dyDescent="0.25">
      <c r="A94" s="105"/>
      <c r="B94" s="105" t="s">
        <v>122</v>
      </c>
      <c r="C94" s="105">
        <v>41.9</v>
      </c>
      <c r="D94" s="97"/>
      <c r="E94" s="97"/>
      <c r="F94" s="97" t="s">
        <v>43</v>
      </c>
      <c r="G94" s="97"/>
      <c r="H94" s="97"/>
    </row>
    <row r="95" spans="1:12" s="27" customFormat="1" hidden="1" outlineLevel="1" x14ac:dyDescent="0.25">
      <c r="A95" s="105"/>
      <c r="B95" s="105" t="s">
        <v>123</v>
      </c>
      <c r="C95" s="105">
        <v>53.1</v>
      </c>
      <c r="D95" s="97"/>
      <c r="E95" s="97"/>
      <c r="F95" s="97" t="s">
        <v>43</v>
      </c>
      <c r="G95" s="97"/>
      <c r="H95" s="97"/>
    </row>
    <row r="96" spans="1:12" s="27" customFormat="1" hidden="1" outlineLevel="1" x14ac:dyDescent="0.25">
      <c r="A96" s="105"/>
      <c r="B96" s="105" t="s">
        <v>124</v>
      </c>
      <c r="C96" s="105">
        <v>13</v>
      </c>
      <c r="D96" s="97"/>
      <c r="E96" s="97"/>
      <c r="F96" s="97" t="s">
        <v>43</v>
      </c>
      <c r="G96" s="97"/>
      <c r="H96" s="97"/>
    </row>
    <row r="97" spans="1:8" s="27" customFormat="1" hidden="1" outlineLevel="1" x14ac:dyDescent="0.25">
      <c r="A97" s="105"/>
      <c r="B97" s="105" t="s">
        <v>125</v>
      </c>
      <c r="C97" s="105">
        <v>16</v>
      </c>
      <c r="D97" s="97"/>
      <c r="E97" s="97"/>
      <c r="F97" s="97" t="s">
        <v>43</v>
      </c>
      <c r="G97" s="97"/>
      <c r="H97" s="97"/>
    </row>
    <row r="98" spans="1:8" s="27" customFormat="1" hidden="1" outlineLevel="1" x14ac:dyDescent="0.25">
      <c r="A98" s="105"/>
      <c r="B98" s="105" t="s">
        <v>126</v>
      </c>
      <c r="C98" s="105">
        <v>19.600000000000001</v>
      </c>
      <c r="D98" s="97"/>
      <c r="E98" s="97"/>
      <c r="F98" s="97" t="s">
        <v>43</v>
      </c>
      <c r="G98" s="97"/>
      <c r="H98" s="97"/>
    </row>
    <row r="99" spans="1:8" s="27" customFormat="1" hidden="1" outlineLevel="1" x14ac:dyDescent="0.25">
      <c r="A99" s="105"/>
      <c r="B99" s="105" t="s">
        <v>127</v>
      </c>
      <c r="C99" s="105">
        <v>25.6</v>
      </c>
      <c r="D99" s="97"/>
      <c r="E99" s="97"/>
      <c r="F99" s="97" t="s">
        <v>43</v>
      </c>
      <c r="G99" s="97"/>
      <c r="H99" s="97"/>
    </row>
    <row r="100" spans="1:8" s="27" customFormat="1" hidden="1" outlineLevel="1" x14ac:dyDescent="0.25">
      <c r="A100" s="105"/>
      <c r="B100" s="105" t="s">
        <v>128</v>
      </c>
      <c r="C100" s="105">
        <v>32</v>
      </c>
      <c r="D100" s="97"/>
      <c r="E100" s="97"/>
      <c r="F100" s="97" t="s">
        <v>43</v>
      </c>
      <c r="G100" s="97"/>
      <c r="H100" s="97"/>
    </row>
    <row r="101" spans="1:8" s="27" customFormat="1" hidden="1" outlineLevel="1" x14ac:dyDescent="0.25">
      <c r="A101" s="105"/>
      <c r="B101" s="105" t="s">
        <v>129</v>
      </c>
      <c r="C101" s="105">
        <v>39</v>
      </c>
      <c r="D101" s="97"/>
      <c r="E101" s="97"/>
      <c r="F101" s="97" t="s">
        <v>43</v>
      </c>
      <c r="G101" s="97"/>
      <c r="H101" s="97"/>
    </row>
    <row r="102" spans="1:8" s="27" customFormat="1" hidden="1" outlineLevel="1" x14ac:dyDescent="0.25">
      <c r="A102" s="105"/>
      <c r="B102" s="105" t="s">
        <v>130</v>
      </c>
      <c r="C102" s="105">
        <v>51</v>
      </c>
      <c r="D102" s="97"/>
      <c r="E102" s="97"/>
      <c r="F102" s="97" t="s">
        <v>43</v>
      </c>
      <c r="G102" s="97"/>
      <c r="H102" s="97"/>
    </row>
    <row r="103" spans="1:8" s="27" customFormat="1" hidden="1" outlineLevel="1" x14ac:dyDescent="0.25">
      <c r="A103" s="105"/>
      <c r="B103" s="105" t="s">
        <v>131</v>
      </c>
      <c r="C103" s="105">
        <v>10</v>
      </c>
      <c r="D103" s="97"/>
      <c r="E103" s="97"/>
      <c r="F103" s="97" t="s">
        <v>43</v>
      </c>
      <c r="G103" s="97"/>
      <c r="H103" s="97"/>
    </row>
    <row r="104" spans="1:8" s="27" customFormat="1" hidden="1" outlineLevel="1" x14ac:dyDescent="0.25">
      <c r="A104" s="105"/>
      <c r="B104" s="105" t="s">
        <v>132</v>
      </c>
      <c r="C104" s="105">
        <v>13</v>
      </c>
      <c r="D104" s="97"/>
      <c r="E104" s="97"/>
      <c r="F104" s="97" t="s">
        <v>43</v>
      </c>
      <c r="G104" s="97"/>
      <c r="H104" s="97"/>
    </row>
    <row r="105" spans="1:8" s="27" customFormat="1" hidden="1" outlineLevel="1" x14ac:dyDescent="0.25">
      <c r="A105" s="105"/>
      <c r="B105" s="105" t="s">
        <v>133</v>
      </c>
      <c r="C105" s="105">
        <v>16</v>
      </c>
      <c r="D105" s="97"/>
      <c r="E105" s="97"/>
      <c r="F105" s="97" t="s">
        <v>43</v>
      </c>
      <c r="G105" s="97"/>
      <c r="H105" s="97"/>
    </row>
    <row r="106" spans="1:8" s="27" customFormat="1" hidden="1" outlineLevel="1" x14ac:dyDescent="0.25">
      <c r="A106" s="105"/>
      <c r="B106" s="105" t="s">
        <v>134</v>
      </c>
      <c r="C106" s="105">
        <v>20</v>
      </c>
      <c r="D106" s="97"/>
      <c r="E106" s="97"/>
      <c r="F106" s="97" t="s">
        <v>43</v>
      </c>
      <c r="G106" s="97"/>
      <c r="H106" s="97"/>
    </row>
    <row r="107" spans="1:8" s="27" customFormat="1" hidden="1" outlineLevel="1" x14ac:dyDescent="0.25">
      <c r="A107" s="116"/>
      <c r="B107" s="105" t="s">
        <v>135</v>
      </c>
      <c r="C107" s="105">
        <v>25</v>
      </c>
      <c r="D107" s="97"/>
      <c r="E107" s="97"/>
      <c r="F107" s="97" t="s">
        <v>49</v>
      </c>
      <c r="H107" s="97"/>
    </row>
    <row r="108" spans="1:8" s="27" customFormat="1" hidden="1" outlineLevel="1" x14ac:dyDescent="0.25">
      <c r="A108" s="105"/>
      <c r="B108" s="105" t="s">
        <v>136</v>
      </c>
      <c r="C108" s="105">
        <v>26</v>
      </c>
      <c r="D108" s="97"/>
      <c r="E108" s="97"/>
      <c r="F108" s="97" t="s">
        <v>43</v>
      </c>
      <c r="G108" s="97"/>
      <c r="H108" s="97"/>
    </row>
    <row r="109" spans="1:8" s="27" customFormat="1" hidden="1" outlineLevel="1" x14ac:dyDescent="0.25">
      <c r="A109" s="105"/>
      <c r="B109" s="105" t="s">
        <v>137</v>
      </c>
      <c r="C109" s="105">
        <v>32.6</v>
      </c>
      <c r="D109" s="97"/>
      <c r="E109" s="97"/>
      <c r="F109" s="97" t="s">
        <v>43</v>
      </c>
      <c r="G109" s="97"/>
      <c r="H109" s="97"/>
    </row>
    <row r="110" spans="1:8" s="27" customFormat="1" hidden="1" outlineLevel="1" x14ac:dyDescent="0.25">
      <c r="A110" s="105"/>
      <c r="B110" s="105" t="s">
        <v>138</v>
      </c>
      <c r="C110" s="105">
        <v>39.6</v>
      </c>
      <c r="D110" s="97"/>
      <c r="E110" s="97"/>
      <c r="F110" s="97" t="s">
        <v>43</v>
      </c>
      <c r="G110" s="97"/>
      <c r="H110" s="97"/>
    </row>
    <row r="111" spans="1:8" s="27" customFormat="1" hidden="1" outlineLevel="1" x14ac:dyDescent="0.25">
      <c r="A111" s="105"/>
      <c r="B111" s="105" t="s">
        <v>139</v>
      </c>
      <c r="C111" s="105">
        <v>51</v>
      </c>
      <c r="D111" s="97"/>
      <c r="E111" s="97"/>
      <c r="F111" s="97" t="s">
        <v>43</v>
      </c>
      <c r="G111" s="97"/>
      <c r="H111" s="97"/>
    </row>
    <row r="112" spans="1:8" s="27" customFormat="1" hidden="1" outlineLevel="1" x14ac:dyDescent="0.25">
      <c r="A112" s="105"/>
      <c r="B112" s="105" t="s">
        <v>140</v>
      </c>
      <c r="C112" s="105">
        <f>ROUND(D112-(PRODUCT(D112,2,1/11)),2)</f>
        <v>13.09</v>
      </c>
      <c r="D112" s="97">
        <v>16</v>
      </c>
      <c r="E112" s="97"/>
      <c r="F112" s="97" t="s">
        <v>50</v>
      </c>
      <c r="G112" s="97" t="s">
        <v>43</v>
      </c>
      <c r="H112" s="97"/>
    </row>
    <row r="113" spans="1:8" s="27" customFormat="1" hidden="1" outlineLevel="1" x14ac:dyDescent="0.25">
      <c r="A113" s="105"/>
      <c r="B113" s="105" t="s">
        <v>141</v>
      </c>
      <c r="C113" s="105">
        <f t="shared" ref="C113:C137" si="6">ROUND(D113-(PRODUCT(D113,2,1/11)),2)</f>
        <v>16.36</v>
      </c>
      <c r="D113" s="97">
        <v>20</v>
      </c>
      <c r="E113" s="97"/>
      <c r="F113" s="97" t="s">
        <v>50</v>
      </c>
      <c r="G113" s="97" t="s">
        <v>43</v>
      </c>
      <c r="H113" s="97"/>
    </row>
    <row r="114" spans="1:8" s="27" customFormat="1" hidden="1" outlineLevel="1" x14ac:dyDescent="0.25">
      <c r="A114" s="105"/>
      <c r="B114" s="105" t="s">
        <v>142</v>
      </c>
      <c r="C114" s="105">
        <f t="shared" si="6"/>
        <v>20.45</v>
      </c>
      <c r="D114" s="97">
        <v>25</v>
      </c>
      <c r="E114" s="97"/>
      <c r="F114" s="97" t="s">
        <v>50</v>
      </c>
      <c r="G114" s="97" t="s">
        <v>43</v>
      </c>
      <c r="H114" s="97"/>
    </row>
    <row r="115" spans="1:8" s="27" customFormat="1" hidden="1" outlineLevel="1" x14ac:dyDescent="0.25">
      <c r="A115" s="105"/>
      <c r="B115" s="105" t="s">
        <v>143</v>
      </c>
      <c r="C115" s="105">
        <f t="shared" si="6"/>
        <v>26.18</v>
      </c>
      <c r="D115" s="97">
        <v>32</v>
      </c>
      <c r="E115" s="97"/>
      <c r="F115" s="97" t="s">
        <v>50</v>
      </c>
      <c r="G115" s="97" t="s">
        <v>43</v>
      </c>
      <c r="H115" s="97"/>
    </row>
    <row r="116" spans="1:8" s="27" customFormat="1" hidden="1" outlineLevel="1" x14ac:dyDescent="0.25">
      <c r="A116" s="105"/>
      <c r="B116" s="105" t="s">
        <v>144</v>
      </c>
      <c r="C116" s="105">
        <f t="shared" si="6"/>
        <v>32.729999999999997</v>
      </c>
      <c r="D116" s="97">
        <v>40</v>
      </c>
      <c r="E116" s="97"/>
      <c r="F116" s="97" t="s">
        <v>50</v>
      </c>
      <c r="G116" s="97" t="s">
        <v>43</v>
      </c>
      <c r="H116" s="97"/>
    </row>
    <row r="117" spans="1:8" s="27" customFormat="1" hidden="1" outlineLevel="1" x14ac:dyDescent="0.25">
      <c r="A117" s="105"/>
      <c r="B117" s="105" t="s">
        <v>145</v>
      </c>
      <c r="C117" s="105">
        <f t="shared" si="6"/>
        <v>40.909999999999997</v>
      </c>
      <c r="D117" s="97">
        <v>50</v>
      </c>
      <c r="E117" s="97"/>
      <c r="F117" s="97" t="s">
        <v>50</v>
      </c>
      <c r="G117" s="97" t="s">
        <v>43</v>
      </c>
      <c r="H117" s="97"/>
    </row>
    <row r="118" spans="1:8" s="27" customFormat="1" hidden="1" outlineLevel="1" x14ac:dyDescent="0.25">
      <c r="A118" s="105"/>
      <c r="B118" s="105" t="s">
        <v>146</v>
      </c>
      <c r="C118" s="105">
        <f t="shared" si="6"/>
        <v>51.55</v>
      </c>
      <c r="D118" s="97">
        <v>63</v>
      </c>
      <c r="E118" s="97"/>
      <c r="F118" s="97" t="s">
        <v>50</v>
      </c>
      <c r="G118" s="97" t="s">
        <v>43</v>
      </c>
      <c r="H118" s="97"/>
    </row>
    <row r="119" spans="1:8" s="27" customFormat="1" hidden="1" outlineLevel="1" x14ac:dyDescent="0.25">
      <c r="A119" s="105"/>
      <c r="B119" s="97" t="s">
        <v>147</v>
      </c>
      <c r="C119" s="105">
        <f t="shared" si="6"/>
        <v>61.36</v>
      </c>
      <c r="D119" s="97">
        <v>75</v>
      </c>
      <c r="E119" s="97"/>
      <c r="F119" s="97" t="s">
        <v>50</v>
      </c>
      <c r="G119" s="97"/>
      <c r="H119" s="97"/>
    </row>
    <row r="120" spans="1:8" s="27" customFormat="1" hidden="1" outlineLevel="1" x14ac:dyDescent="0.25">
      <c r="A120" s="105"/>
      <c r="B120" s="97" t="s">
        <v>148</v>
      </c>
      <c r="C120" s="105">
        <f t="shared" si="6"/>
        <v>73.64</v>
      </c>
      <c r="D120" s="97">
        <v>90</v>
      </c>
      <c r="E120" s="97"/>
      <c r="F120" s="97" t="s">
        <v>50</v>
      </c>
      <c r="G120" s="97"/>
      <c r="H120" s="97"/>
    </row>
    <row r="121" spans="1:8" s="27" customFormat="1" hidden="1" outlineLevel="1" x14ac:dyDescent="0.25">
      <c r="A121" s="105"/>
      <c r="B121" s="97" t="s">
        <v>149</v>
      </c>
      <c r="C121" s="105">
        <f t="shared" si="6"/>
        <v>90</v>
      </c>
      <c r="D121" s="97">
        <v>110</v>
      </c>
      <c r="E121" s="97"/>
      <c r="F121" s="97" t="s">
        <v>50</v>
      </c>
      <c r="G121" s="97"/>
      <c r="H121" s="97"/>
    </row>
    <row r="122" spans="1:8" s="27" customFormat="1" hidden="1" outlineLevel="1" x14ac:dyDescent="0.25">
      <c r="A122" s="105"/>
      <c r="B122" s="97" t="s">
        <v>150</v>
      </c>
      <c r="C122" s="105">
        <f t="shared" si="6"/>
        <v>102.27</v>
      </c>
      <c r="D122" s="97">
        <v>125</v>
      </c>
      <c r="E122" s="97"/>
      <c r="F122" s="97" t="s">
        <v>50</v>
      </c>
      <c r="G122" s="97"/>
      <c r="H122" s="97"/>
    </row>
    <row r="123" spans="1:8" s="27" customFormat="1" hidden="1" outlineLevel="1" x14ac:dyDescent="0.25">
      <c r="A123" s="105"/>
      <c r="B123" s="97" t="s">
        <v>151</v>
      </c>
      <c r="C123" s="105">
        <f t="shared" si="6"/>
        <v>114.55</v>
      </c>
      <c r="D123" s="97">
        <v>140</v>
      </c>
      <c r="E123" s="97"/>
      <c r="F123" s="97" t="s">
        <v>50</v>
      </c>
      <c r="G123" s="97"/>
      <c r="H123" s="97"/>
    </row>
    <row r="124" spans="1:8" s="27" customFormat="1" hidden="1" outlineLevel="1" x14ac:dyDescent="0.25">
      <c r="A124" s="105"/>
      <c r="B124" s="97" t="s">
        <v>152</v>
      </c>
      <c r="C124" s="105">
        <f t="shared" si="6"/>
        <v>130.91</v>
      </c>
      <c r="D124" s="97">
        <v>160</v>
      </c>
      <c r="E124" s="97"/>
      <c r="F124" s="97" t="s">
        <v>50</v>
      </c>
      <c r="G124" s="97"/>
      <c r="H124" s="97"/>
    </row>
    <row r="125" spans="1:8" s="27" customFormat="1" hidden="1" outlineLevel="1" x14ac:dyDescent="0.25">
      <c r="A125" s="105"/>
      <c r="B125" s="97" t="s">
        <v>153</v>
      </c>
      <c r="C125" s="105">
        <f t="shared" si="6"/>
        <v>147.27000000000001</v>
      </c>
      <c r="D125" s="97">
        <v>180</v>
      </c>
      <c r="E125" s="97"/>
      <c r="F125" s="97" t="s">
        <v>50</v>
      </c>
      <c r="G125" s="97"/>
      <c r="H125" s="97"/>
    </row>
    <row r="126" spans="1:8" s="27" customFormat="1" hidden="1" outlineLevel="1" x14ac:dyDescent="0.25">
      <c r="A126" s="105"/>
      <c r="B126" s="97" t="s">
        <v>154</v>
      </c>
      <c r="C126" s="105">
        <f t="shared" si="6"/>
        <v>163.63999999999999</v>
      </c>
      <c r="D126" s="97">
        <v>200</v>
      </c>
      <c r="E126" s="97"/>
      <c r="F126" s="97" t="s">
        <v>50</v>
      </c>
      <c r="G126" s="97"/>
      <c r="H126" s="97"/>
    </row>
    <row r="127" spans="1:8" s="27" customFormat="1" hidden="1" outlineLevel="1" x14ac:dyDescent="0.25">
      <c r="A127" s="105"/>
      <c r="B127" s="97" t="s">
        <v>155</v>
      </c>
      <c r="C127" s="105">
        <f t="shared" si="6"/>
        <v>184.09</v>
      </c>
      <c r="D127" s="97">
        <v>225</v>
      </c>
      <c r="E127" s="97"/>
      <c r="F127" s="97" t="s">
        <v>50</v>
      </c>
      <c r="G127" s="97"/>
      <c r="H127" s="97"/>
    </row>
    <row r="128" spans="1:8" s="27" customFormat="1" hidden="1" outlineLevel="1" x14ac:dyDescent="0.25">
      <c r="A128" s="105"/>
      <c r="B128" s="97" t="s">
        <v>156</v>
      </c>
      <c r="C128" s="105">
        <f t="shared" si="6"/>
        <v>229.09</v>
      </c>
      <c r="D128" s="97">
        <v>280</v>
      </c>
      <c r="E128" s="97"/>
      <c r="F128" s="97" t="s">
        <v>50</v>
      </c>
      <c r="G128" s="97"/>
      <c r="H128" s="97"/>
    </row>
    <row r="129" spans="1:8" s="27" customFormat="1" hidden="1" outlineLevel="1" x14ac:dyDescent="0.25">
      <c r="A129" s="105"/>
      <c r="B129" s="97" t="s">
        <v>157</v>
      </c>
      <c r="C129" s="105">
        <f t="shared" si="6"/>
        <v>257.73</v>
      </c>
      <c r="D129" s="97">
        <v>315</v>
      </c>
      <c r="E129" s="97"/>
      <c r="F129" s="97" t="s">
        <v>50</v>
      </c>
      <c r="G129" s="97"/>
      <c r="H129" s="97"/>
    </row>
    <row r="130" spans="1:8" s="27" customFormat="1" hidden="1" outlineLevel="1" x14ac:dyDescent="0.25">
      <c r="A130" s="105"/>
      <c r="B130" s="97" t="s">
        <v>158</v>
      </c>
      <c r="C130" s="105">
        <f t="shared" si="6"/>
        <v>290.45</v>
      </c>
      <c r="D130" s="97">
        <v>355</v>
      </c>
      <c r="E130" s="97"/>
      <c r="F130" s="97" t="s">
        <v>50</v>
      </c>
      <c r="G130" s="97"/>
      <c r="H130" s="97"/>
    </row>
    <row r="131" spans="1:8" s="27" customFormat="1" hidden="1" outlineLevel="1" x14ac:dyDescent="0.25">
      <c r="A131" s="105"/>
      <c r="B131" s="97" t="s">
        <v>159</v>
      </c>
      <c r="C131" s="105">
        <f t="shared" si="6"/>
        <v>327.27</v>
      </c>
      <c r="D131" s="97">
        <v>400</v>
      </c>
      <c r="E131" s="97"/>
      <c r="F131" s="97" t="s">
        <v>50</v>
      </c>
      <c r="G131" s="97"/>
      <c r="H131" s="97"/>
    </row>
    <row r="132" spans="1:8" s="27" customFormat="1" hidden="1" outlineLevel="1" x14ac:dyDescent="0.25">
      <c r="A132" s="97"/>
      <c r="B132" s="97" t="s">
        <v>160</v>
      </c>
      <c r="C132" s="105">
        <f t="shared" si="6"/>
        <v>368.18</v>
      </c>
      <c r="D132" s="97">
        <v>450</v>
      </c>
      <c r="E132" s="97"/>
      <c r="F132" s="97" t="s">
        <v>50</v>
      </c>
      <c r="G132" s="97"/>
      <c r="H132" s="97"/>
    </row>
    <row r="133" spans="1:8" s="27" customFormat="1" hidden="1" outlineLevel="1" x14ac:dyDescent="0.25">
      <c r="A133" s="105"/>
      <c r="B133" s="97" t="s">
        <v>161</v>
      </c>
      <c r="C133" s="105">
        <f t="shared" si="6"/>
        <v>409.09</v>
      </c>
      <c r="D133" s="97">
        <v>500</v>
      </c>
      <c r="E133" s="97"/>
      <c r="F133" s="97" t="s">
        <v>50</v>
      </c>
      <c r="G133" s="97"/>
      <c r="H133" s="97"/>
    </row>
    <row r="134" spans="1:8" s="27" customFormat="1" hidden="1" outlineLevel="1" x14ac:dyDescent="0.25">
      <c r="A134" s="97"/>
      <c r="B134" s="97" t="s">
        <v>162</v>
      </c>
      <c r="C134" s="105">
        <f t="shared" si="6"/>
        <v>458.18</v>
      </c>
      <c r="D134" s="97">
        <v>560</v>
      </c>
      <c r="E134" s="97"/>
      <c r="F134" s="97" t="s">
        <v>50</v>
      </c>
      <c r="G134" s="97"/>
      <c r="H134" s="97"/>
    </row>
    <row r="135" spans="1:8" s="27" customFormat="1" hidden="1" outlineLevel="1" x14ac:dyDescent="0.25">
      <c r="A135" s="97"/>
      <c r="B135" s="97" t="s">
        <v>163</v>
      </c>
      <c r="C135" s="105">
        <f t="shared" si="6"/>
        <v>515.45000000000005</v>
      </c>
      <c r="D135" s="97">
        <v>630</v>
      </c>
      <c r="E135" s="97"/>
      <c r="F135" s="97" t="s">
        <v>50</v>
      </c>
      <c r="G135" s="97"/>
      <c r="H135" s="97"/>
    </row>
    <row r="136" spans="1:8" s="27" customFormat="1" hidden="1" outlineLevel="1" x14ac:dyDescent="0.25">
      <c r="A136" s="97"/>
      <c r="B136" s="97" t="s">
        <v>161</v>
      </c>
      <c r="C136" s="105">
        <f t="shared" si="6"/>
        <v>409.09</v>
      </c>
      <c r="D136" s="97">
        <v>500</v>
      </c>
      <c r="E136" s="97"/>
      <c r="F136" s="97" t="s">
        <v>50</v>
      </c>
      <c r="G136" s="97"/>
      <c r="H136" s="97"/>
    </row>
    <row r="137" spans="1:8" s="27" customFormat="1" hidden="1" outlineLevel="1" x14ac:dyDescent="0.25">
      <c r="A137" s="97"/>
      <c r="B137" s="97" t="s">
        <v>162</v>
      </c>
      <c r="C137" s="105">
        <f t="shared" si="6"/>
        <v>458.18</v>
      </c>
      <c r="D137" s="97">
        <v>560</v>
      </c>
      <c r="E137" s="97"/>
      <c r="F137" s="97" t="s">
        <v>50</v>
      </c>
      <c r="G137" s="97"/>
      <c r="H137" s="97"/>
    </row>
    <row r="138" spans="1:8" s="27" customFormat="1" hidden="1" outlineLevel="1" x14ac:dyDescent="0.25">
      <c r="A138" s="97"/>
      <c r="B138" s="97" t="s">
        <v>163</v>
      </c>
      <c r="C138" s="105">
        <f>ROUND(D138-(PRODUCT(D138,2,1/11)),2)</f>
        <v>515.45000000000005</v>
      </c>
      <c r="D138" s="97">
        <v>630</v>
      </c>
      <c r="E138" s="97"/>
      <c r="F138" s="97" t="s">
        <v>50</v>
      </c>
      <c r="G138" s="97"/>
      <c r="H138" s="97"/>
    </row>
    <row r="139" spans="1:8" s="27" customFormat="1" hidden="1" outlineLevel="1" x14ac:dyDescent="0.25">
      <c r="A139" s="2"/>
      <c r="B139" s="1" t="s">
        <v>164</v>
      </c>
      <c r="C139" s="115">
        <v>9.35</v>
      </c>
      <c r="D139" s="97"/>
      <c r="E139" s="97"/>
      <c r="F139" s="2" t="s">
        <v>51</v>
      </c>
      <c r="G139" s="97"/>
      <c r="H139" s="97"/>
    </row>
    <row r="140" spans="1:8" s="27" customFormat="1" hidden="1" outlineLevel="1" x14ac:dyDescent="0.25">
      <c r="A140" s="2"/>
      <c r="B140" s="1" t="s">
        <v>165</v>
      </c>
      <c r="C140" s="115">
        <v>11.64</v>
      </c>
      <c r="D140" s="97"/>
      <c r="E140" s="97"/>
      <c r="F140" s="2" t="s">
        <v>51</v>
      </c>
      <c r="G140" s="97"/>
      <c r="H140" s="97"/>
    </row>
    <row r="141" spans="1:8" s="27" customFormat="1" hidden="1" outlineLevel="1" x14ac:dyDescent="0.25">
      <c r="A141" s="2"/>
      <c r="B141" s="1" t="s">
        <v>166</v>
      </c>
      <c r="C141" s="115">
        <v>13.98</v>
      </c>
      <c r="D141" s="97"/>
      <c r="E141" s="97"/>
      <c r="F141" s="2" t="s">
        <v>51</v>
      </c>
      <c r="G141" s="97"/>
      <c r="H141" s="97"/>
    </row>
    <row r="142" spans="1:8" s="27" customFormat="1" hidden="1" outlineLevel="1" x14ac:dyDescent="0.25">
      <c r="A142" s="2"/>
      <c r="B142" s="1" t="s">
        <v>167</v>
      </c>
      <c r="C142" s="115">
        <v>15.8</v>
      </c>
      <c r="D142" s="97"/>
      <c r="E142" s="97"/>
      <c r="F142" s="2" t="s">
        <v>51</v>
      </c>
      <c r="G142" s="97"/>
      <c r="H142" s="97"/>
    </row>
    <row r="143" spans="1:8" s="27" customFormat="1" hidden="1" outlineLevel="1" x14ac:dyDescent="0.25">
      <c r="A143" s="2"/>
      <c r="B143" s="1" t="s">
        <v>168</v>
      </c>
      <c r="C143" s="115">
        <v>17.62</v>
      </c>
      <c r="D143" s="97"/>
      <c r="E143" s="97"/>
      <c r="F143" s="2" t="s">
        <v>51</v>
      </c>
      <c r="G143" s="97"/>
      <c r="H143" s="97"/>
    </row>
    <row r="144" spans="1:8" s="27" customFormat="1" hidden="1" outlineLevel="1" x14ac:dyDescent="0.25">
      <c r="A144" s="2"/>
      <c r="B144" s="1" t="s">
        <v>169</v>
      </c>
      <c r="C144" s="115">
        <v>19.579999999999998</v>
      </c>
      <c r="D144" s="97"/>
      <c r="E144" s="97"/>
      <c r="F144" s="2" t="s">
        <v>51</v>
      </c>
      <c r="G144" s="97"/>
      <c r="H144" s="97"/>
    </row>
    <row r="145" spans="1:8" s="27" customFormat="1" hidden="1" outlineLevel="1" x14ac:dyDescent="0.25">
      <c r="A145" s="2"/>
      <c r="B145" s="1" t="s">
        <v>170</v>
      </c>
      <c r="C145" s="115">
        <v>21.61</v>
      </c>
      <c r="D145" s="97"/>
      <c r="E145" s="97"/>
      <c r="F145" s="2" t="s">
        <v>51</v>
      </c>
      <c r="G145" s="97"/>
      <c r="H145" s="97"/>
    </row>
    <row r="146" spans="1:8" s="27" customFormat="1" hidden="1" outlineLevel="1" x14ac:dyDescent="0.25">
      <c r="A146" s="2"/>
      <c r="B146" s="1" t="s">
        <v>171</v>
      </c>
      <c r="C146" s="115">
        <v>25.61</v>
      </c>
      <c r="D146" s="97"/>
      <c r="E146" s="97"/>
      <c r="F146" s="2" t="s">
        <v>51</v>
      </c>
      <c r="G146" s="97"/>
      <c r="H146" s="97"/>
    </row>
    <row r="147" spans="1:8" s="27" customFormat="1" hidden="1" outlineLevel="1" x14ac:dyDescent="0.25">
      <c r="A147" s="2"/>
      <c r="B147" s="1" t="s">
        <v>172</v>
      </c>
      <c r="C147" s="115">
        <v>29.16</v>
      </c>
      <c r="D147" s="97"/>
      <c r="E147" s="97"/>
      <c r="F147" s="2" t="s">
        <v>51</v>
      </c>
      <c r="G147" s="97"/>
      <c r="H147" s="97"/>
    </row>
    <row r="148" spans="1:8" s="27" customFormat="1" hidden="1" outlineLevel="1" x14ac:dyDescent="0.25">
      <c r="A148" s="2"/>
      <c r="B148" s="1" t="s">
        <v>173</v>
      </c>
      <c r="C148" s="115">
        <v>38.94</v>
      </c>
      <c r="D148" s="97"/>
      <c r="E148" s="97"/>
      <c r="F148" s="2" t="s">
        <v>51</v>
      </c>
      <c r="G148" s="97"/>
      <c r="H148" s="97"/>
    </row>
    <row r="149" spans="1:8" s="27" customFormat="1" hidden="1" outlineLevel="1" x14ac:dyDescent="0.25">
      <c r="A149" s="97"/>
      <c r="B149" s="97"/>
      <c r="C149" s="97"/>
      <c r="D149" s="97"/>
      <c r="E149" s="97"/>
      <c r="F149" s="97"/>
      <c r="G149" s="97"/>
      <c r="H149" s="97"/>
    </row>
    <row r="150" spans="1:8" s="27" customFormat="1" hidden="1" outlineLevel="1" x14ac:dyDescent="0.25">
      <c r="A150" s="97"/>
      <c r="B150" s="97"/>
      <c r="C150" s="97"/>
      <c r="D150" s="97"/>
      <c r="E150" s="97"/>
      <c r="F150" s="97"/>
      <c r="G150" s="97"/>
      <c r="H150" s="97"/>
    </row>
    <row r="151" spans="1:8" s="27" customFormat="1" hidden="1" outlineLevel="1" x14ac:dyDescent="0.25">
      <c r="A151" s="97"/>
      <c r="B151" s="97"/>
      <c r="C151" s="97"/>
      <c r="D151" s="97"/>
      <c r="E151" s="97"/>
      <c r="F151" s="97"/>
      <c r="G151" s="97"/>
      <c r="H151" s="97"/>
    </row>
    <row r="152" spans="1:8" s="27" customFormat="1" hidden="1" outlineLevel="1" x14ac:dyDescent="0.25">
      <c r="A152" s="97"/>
      <c r="B152" s="97"/>
      <c r="C152" s="97"/>
      <c r="D152" s="97"/>
      <c r="E152" s="97"/>
      <c r="F152" s="97"/>
      <c r="G152" s="97"/>
      <c r="H152" s="97"/>
    </row>
    <row r="153" spans="1:8" s="27" customFormat="1" hidden="1" outlineLevel="1" x14ac:dyDescent="0.25">
      <c r="A153" s="97"/>
      <c r="B153" s="97"/>
      <c r="C153" s="97"/>
      <c r="D153" s="97"/>
      <c r="E153" s="97"/>
      <c r="F153" s="97"/>
      <c r="G153" s="97"/>
      <c r="H153" s="97"/>
    </row>
    <row r="154" spans="1:8" s="27" customFormat="1" hidden="1" outlineLevel="1" x14ac:dyDescent="0.25">
      <c r="A154" s="97"/>
      <c r="B154" s="97"/>
      <c r="C154" s="97"/>
      <c r="D154" s="97"/>
      <c r="E154" s="97"/>
      <c r="F154" s="97"/>
      <c r="G154" s="97"/>
      <c r="H154" s="97"/>
    </row>
    <row r="155" spans="1:8" s="27" customFormat="1" hidden="1" outlineLevel="1" x14ac:dyDescent="0.25">
      <c r="A155" s="97"/>
      <c r="B155" s="97"/>
      <c r="C155" s="97"/>
      <c r="D155" s="97"/>
      <c r="E155" s="97"/>
      <c r="F155" s="97"/>
      <c r="G155" s="97"/>
      <c r="H155" s="97"/>
    </row>
    <row r="156" spans="1:8" s="27" customFormat="1" hidden="1" outlineLevel="1" x14ac:dyDescent="0.25">
      <c r="A156" s="97"/>
      <c r="B156" s="97"/>
      <c r="C156" s="97"/>
      <c r="D156" s="97"/>
      <c r="E156" s="97"/>
      <c r="F156" s="97"/>
      <c r="G156" s="97"/>
      <c r="H156" s="97"/>
    </row>
    <row r="157" spans="1:8" s="27" customFormat="1" hidden="1" outlineLevel="1" x14ac:dyDescent="0.25">
      <c r="A157" s="97"/>
      <c r="B157" s="97"/>
      <c r="C157" s="97"/>
      <c r="D157" s="97"/>
      <c r="E157" s="97"/>
      <c r="F157" s="97"/>
      <c r="G157" s="97"/>
      <c r="H157" s="97"/>
    </row>
    <row r="158" spans="1:8" s="27" customFormat="1" hidden="1" outlineLevel="1" x14ac:dyDescent="0.25">
      <c r="A158" s="97"/>
      <c r="B158" s="97"/>
      <c r="C158" s="97"/>
      <c r="D158" s="97"/>
      <c r="E158" s="97"/>
      <c r="F158" s="97"/>
      <c r="G158" s="97"/>
      <c r="H158" s="97"/>
    </row>
    <row r="159" spans="1:8" s="27" customFormat="1" hidden="1" outlineLevel="1" x14ac:dyDescent="0.25">
      <c r="A159" s="97"/>
      <c r="B159" s="97"/>
      <c r="C159" s="97"/>
      <c r="D159" s="97"/>
      <c r="E159" s="97"/>
      <c r="F159" s="97"/>
      <c r="G159" s="97"/>
      <c r="H159" s="97"/>
    </row>
    <row r="160" spans="1:8" s="27" customFormat="1" hidden="1" outlineLevel="1" x14ac:dyDescent="0.25">
      <c r="A160" s="97"/>
      <c r="B160" s="97"/>
      <c r="C160" s="97"/>
      <c r="D160" s="97"/>
      <c r="E160" s="97"/>
      <c r="F160" s="97"/>
      <c r="G160" s="97"/>
      <c r="H160" s="97"/>
    </row>
    <row r="161" spans="1:8" s="27" customFormat="1" hidden="1" outlineLevel="1" x14ac:dyDescent="0.25">
      <c r="A161" s="97"/>
      <c r="B161" s="97"/>
      <c r="C161" s="97"/>
      <c r="D161" s="97"/>
      <c r="E161" s="97"/>
      <c r="F161" s="97"/>
      <c r="G161" s="97"/>
      <c r="H161" s="97"/>
    </row>
    <row r="162" spans="1:8" s="27" customFormat="1" hidden="1" outlineLevel="1" x14ac:dyDescent="0.25">
      <c r="A162" s="97"/>
      <c r="B162" s="97"/>
      <c r="C162" s="97"/>
      <c r="D162" s="97"/>
      <c r="E162" s="97"/>
      <c r="F162" s="97"/>
      <c r="G162" s="97"/>
      <c r="H162" s="97"/>
    </row>
    <row r="163" spans="1:8" s="27" customFormat="1" hidden="1" outlineLevel="1" x14ac:dyDescent="0.25">
      <c r="A163" s="97"/>
      <c r="B163" s="97"/>
      <c r="C163" s="97"/>
      <c r="D163" s="97"/>
      <c r="E163" s="97"/>
      <c r="F163" s="97"/>
      <c r="G163" s="97"/>
      <c r="H163" s="97"/>
    </row>
    <row r="164" spans="1:8" s="27" customFormat="1" hidden="1" outlineLevel="1" x14ac:dyDescent="0.25">
      <c r="A164" s="97"/>
      <c r="B164" s="97"/>
      <c r="C164" s="97"/>
      <c r="D164" s="97"/>
      <c r="E164" s="97"/>
      <c r="F164" s="97"/>
      <c r="G164" s="97"/>
      <c r="H164" s="97"/>
    </row>
    <row r="165" spans="1:8" s="27" customFormat="1" hidden="1" outlineLevel="1" x14ac:dyDescent="0.25">
      <c r="A165" s="97"/>
      <c r="B165" s="97"/>
      <c r="C165" s="97"/>
      <c r="D165" s="97"/>
      <c r="E165" s="97"/>
      <c r="F165" s="97"/>
      <c r="G165" s="97"/>
      <c r="H165" s="97"/>
    </row>
    <row r="166" spans="1:8" s="27" customFormat="1" hidden="1" outlineLevel="1" x14ac:dyDescent="0.25">
      <c r="A166" s="97"/>
      <c r="B166" s="97"/>
      <c r="C166" s="97"/>
      <c r="D166" s="97"/>
      <c r="E166" s="97"/>
      <c r="F166" s="97"/>
      <c r="G166" s="97"/>
      <c r="H166" s="97"/>
    </row>
    <row r="167" spans="1:8" s="27" customFormat="1" hidden="1" outlineLevel="1" x14ac:dyDescent="0.25">
      <c r="A167" s="97"/>
      <c r="B167" s="97"/>
      <c r="C167" s="97"/>
      <c r="D167" s="97"/>
      <c r="E167" s="97"/>
      <c r="F167" s="97"/>
      <c r="G167" s="97"/>
      <c r="H167" s="97"/>
    </row>
    <row r="168" spans="1:8" s="27" customFormat="1" hidden="1" outlineLevel="1" x14ac:dyDescent="0.25">
      <c r="A168" s="97"/>
      <c r="B168" s="97"/>
      <c r="C168" s="97"/>
      <c r="D168" s="97"/>
      <c r="E168" s="97"/>
      <c r="F168" s="97"/>
      <c r="G168" s="97"/>
      <c r="H168" s="97"/>
    </row>
    <row r="169" spans="1:8" s="27" customFormat="1" hidden="1" outlineLevel="1" x14ac:dyDescent="0.25">
      <c r="A169" s="97"/>
      <c r="B169" s="97"/>
      <c r="C169" s="97"/>
      <c r="D169" s="97"/>
      <c r="E169" s="97"/>
      <c r="F169" s="97"/>
      <c r="G169" s="97"/>
      <c r="H169" s="97"/>
    </row>
    <row r="170" spans="1:8" s="27" customFormat="1" hidden="1" outlineLevel="1" x14ac:dyDescent="0.25">
      <c r="A170" s="97"/>
      <c r="B170" s="97"/>
      <c r="C170" s="97"/>
      <c r="D170" s="97"/>
      <c r="E170" s="97"/>
      <c r="F170" s="97"/>
      <c r="G170" s="97"/>
      <c r="H170" s="97"/>
    </row>
    <row r="171" spans="1:8" s="27" customFormat="1" hidden="1" outlineLevel="1" x14ac:dyDescent="0.25">
      <c r="A171" s="97"/>
      <c r="B171" s="97"/>
      <c r="C171" s="97"/>
      <c r="D171" s="97"/>
      <c r="E171" s="97"/>
      <c r="F171" s="97"/>
      <c r="G171" s="97"/>
      <c r="H171" s="97"/>
    </row>
    <row r="172" spans="1:8" s="27" customFormat="1" hidden="1" outlineLevel="1" x14ac:dyDescent="0.25">
      <c r="A172" s="97"/>
      <c r="B172" s="97"/>
      <c r="C172" s="97"/>
      <c r="D172" s="97"/>
      <c r="E172" s="97"/>
      <c r="F172" s="97"/>
      <c r="G172" s="97"/>
      <c r="H172" s="97"/>
    </row>
    <row r="173" spans="1:8" s="27" customFormat="1" hidden="1" outlineLevel="1" x14ac:dyDescent="0.25">
      <c r="A173" s="97"/>
      <c r="B173" s="97"/>
      <c r="C173" s="97"/>
      <c r="D173" s="97"/>
      <c r="E173" s="97"/>
      <c r="F173" s="97"/>
      <c r="G173" s="97"/>
      <c r="H173" s="97"/>
    </row>
    <row r="174" spans="1:8" s="27" customFormat="1" hidden="1" outlineLevel="1" x14ac:dyDescent="0.25">
      <c r="A174" s="97"/>
      <c r="B174" s="97"/>
      <c r="C174" s="97"/>
      <c r="D174" s="97"/>
      <c r="E174" s="97"/>
      <c r="F174" s="97"/>
      <c r="G174" s="97"/>
      <c r="H174" s="97"/>
    </row>
    <row r="175" spans="1:8" s="27" customFormat="1" hidden="1" outlineLevel="1" x14ac:dyDescent="0.25">
      <c r="A175" s="97"/>
      <c r="B175" s="97"/>
      <c r="C175" s="97"/>
      <c r="D175" s="97"/>
      <c r="E175" s="97"/>
      <c r="F175" s="97"/>
      <c r="G175" s="97"/>
      <c r="H175" s="97"/>
    </row>
    <row r="176" spans="1:8" s="27" customFormat="1" hidden="1" outlineLevel="1" x14ac:dyDescent="0.25">
      <c r="A176" s="97"/>
      <c r="B176" s="97"/>
      <c r="C176" s="97"/>
      <c r="D176" s="97"/>
      <c r="E176" s="97"/>
      <c r="F176" s="97"/>
      <c r="G176" s="97"/>
      <c r="H176" s="97"/>
    </row>
    <row r="177" spans="1:8" s="27" customFormat="1" hidden="1" outlineLevel="1" x14ac:dyDescent="0.25">
      <c r="A177" s="97"/>
      <c r="B177" s="97"/>
      <c r="C177" s="97"/>
      <c r="D177" s="97"/>
      <c r="E177" s="97"/>
      <c r="F177" s="97"/>
      <c r="G177" s="97"/>
      <c r="H177" s="97"/>
    </row>
    <row r="178" spans="1:8" s="118" customFormat="1" hidden="1" outlineLevel="1" x14ac:dyDescent="0.25">
      <c r="A178" s="97"/>
      <c r="B178" s="97"/>
      <c r="C178" s="97"/>
      <c r="D178" s="97"/>
      <c r="E178" s="97"/>
      <c r="F178" s="117"/>
      <c r="G178" s="117"/>
      <c r="H178" s="117"/>
    </row>
    <row r="179" spans="1:8" s="27" customFormat="1" hidden="1" outlineLevel="1" x14ac:dyDescent="0.25">
      <c r="A179" s="97"/>
      <c r="B179" s="97"/>
      <c r="C179" s="97"/>
      <c r="D179" s="97"/>
      <c r="E179" s="97"/>
      <c r="F179" s="97"/>
      <c r="G179" s="97"/>
      <c r="H179" s="97"/>
    </row>
    <row r="180" spans="1:8" s="27" customFormat="1" hidden="1" outlineLevel="1" x14ac:dyDescent="0.25">
      <c r="A180" s="97"/>
      <c r="B180" s="97"/>
      <c r="C180" s="97"/>
      <c r="D180" s="97"/>
      <c r="E180" s="97"/>
      <c r="F180" s="97"/>
      <c r="G180" s="97"/>
      <c r="H180" s="97"/>
    </row>
    <row r="181" spans="1:8" s="27" customFormat="1" hidden="1" outlineLevel="1" x14ac:dyDescent="0.25">
      <c r="A181" s="97"/>
      <c r="B181" s="97"/>
      <c r="C181" s="97"/>
      <c r="D181" s="97"/>
      <c r="E181" s="97"/>
      <c r="F181" s="97"/>
      <c r="G181" s="97"/>
      <c r="H181" s="97"/>
    </row>
    <row r="182" spans="1:8" s="27" customFormat="1" hidden="1" outlineLevel="1" x14ac:dyDescent="0.25">
      <c r="A182" s="97"/>
      <c r="B182" s="97"/>
      <c r="C182" s="97"/>
      <c r="D182" s="97"/>
      <c r="E182" s="97"/>
      <c r="F182" s="97"/>
      <c r="G182" s="97"/>
      <c r="H182" s="97"/>
    </row>
    <row r="183" spans="1:8" s="27" customFormat="1" hidden="1" outlineLevel="1" x14ac:dyDescent="0.25">
      <c r="A183" s="97"/>
      <c r="B183" s="97"/>
      <c r="C183" s="97"/>
      <c r="D183" s="97"/>
      <c r="E183" s="97"/>
      <c r="F183" s="97"/>
      <c r="G183" s="97"/>
      <c r="H183" s="97"/>
    </row>
    <row r="184" spans="1:8" s="27" customFormat="1" hidden="1" outlineLevel="1" x14ac:dyDescent="0.25">
      <c r="A184" s="97"/>
      <c r="B184" s="97"/>
      <c r="C184" s="97"/>
      <c r="D184" s="97"/>
      <c r="E184" s="97"/>
      <c r="F184" s="97"/>
      <c r="G184" s="97"/>
      <c r="H184" s="97"/>
    </row>
    <row r="185" spans="1:8" s="27" customFormat="1" hidden="1" outlineLevel="1" x14ac:dyDescent="0.25">
      <c r="A185" s="97"/>
      <c r="B185" s="97"/>
      <c r="C185" s="97"/>
      <c r="D185" s="97"/>
      <c r="E185" s="97"/>
      <c r="F185" s="97"/>
      <c r="G185" s="97"/>
      <c r="H185" s="97"/>
    </row>
    <row r="186" spans="1:8" s="27" customFormat="1" hidden="1" outlineLevel="1" x14ac:dyDescent="0.25">
      <c r="A186" s="97"/>
      <c r="B186" s="97"/>
      <c r="C186" s="97"/>
      <c r="D186" s="97"/>
      <c r="E186" s="97"/>
      <c r="F186" s="97"/>
      <c r="G186" s="97"/>
      <c r="H186" s="97"/>
    </row>
    <row r="187" spans="1:8" s="27" customFormat="1" hidden="1" outlineLevel="1" x14ac:dyDescent="0.25">
      <c r="A187" s="97"/>
      <c r="B187" s="97"/>
      <c r="C187" s="97"/>
      <c r="D187" s="97"/>
      <c r="E187" s="97"/>
      <c r="F187" s="97"/>
      <c r="G187" s="97"/>
      <c r="H187" s="97"/>
    </row>
    <row r="188" spans="1:8" s="27" customFormat="1" hidden="1" outlineLevel="1" x14ac:dyDescent="0.25">
      <c r="A188" s="119" t="s">
        <v>40</v>
      </c>
      <c r="B188" s="98"/>
      <c r="C188" s="120"/>
      <c r="D188" s="120"/>
    </row>
    <row r="189" spans="1:8" s="27" customFormat="1" hidden="1" outlineLevel="1" x14ac:dyDescent="0.25">
      <c r="A189" s="121" t="s">
        <v>19</v>
      </c>
      <c r="B189" s="121"/>
      <c r="C189" s="121" t="s">
        <v>184</v>
      </c>
      <c r="D189" s="122" t="s">
        <v>187</v>
      </c>
      <c r="E189" s="22"/>
      <c r="F189" s="22"/>
    </row>
    <row r="190" spans="1:8" s="27" customFormat="1" hidden="1" outlineLevel="1" x14ac:dyDescent="0.25">
      <c r="A190" s="121" t="s">
        <v>21</v>
      </c>
      <c r="B190" s="121"/>
      <c r="C190" s="121" t="s">
        <v>185</v>
      </c>
      <c r="D190" s="122"/>
      <c r="E190" s="22"/>
      <c r="F190" s="22"/>
    </row>
    <row r="191" spans="1:8" s="27" customFormat="1" hidden="1" outlineLevel="1" x14ac:dyDescent="0.25">
      <c r="A191" s="121" t="s">
        <v>174</v>
      </c>
      <c r="B191" s="121"/>
      <c r="C191" s="22"/>
      <c r="D191" s="22"/>
      <c r="E191" s="22"/>
      <c r="F191" s="22"/>
    </row>
    <row r="192" spans="1:8" s="27" customFormat="1" hidden="1" outlineLevel="1" x14ac:dyDescent="0.25">
      <c r="A192" s="121" t="s">
        <v>175</v>
      </c>
      <c r="B192" s="121"/>
      <c r="C192" s="22"/>
      <c r="D192" s="123"/>
      <c r="E192" s="22"/>
      <c r="F192" s="22"/>
    </row>
    <row r="193" spans="1:6" s="27" customFormat="1" hidden="1" outlineLevel="1" x14ac:dyDescent="0.25">
      <c r="A193" s="121" t="s">
        <v>176</v>
      </c>
      <c r="B193" s="121"/>
      <c r="C193" s="22"/>
      <c r="D193" s="22"/>
      <c r="E193" s="22"/>
      <c r="F193" s="22"/>
    </row>
    <row r="194" spans="1:6" s="27" customFormat="1" hidden="1" outlineLevel="1" x14ac:dyDescent="0.25">
      <c r="A194" s="121" t="s">
        <v>197</v>
      </c>
      <c r="B194" s="124"/>
      <c r="C194" s="125"/>
      <c r="D194" s="22"/>
      <c r="E194" s="22"/>
      <c r="F194" s="22"/>
    </row>
    <row r="195" spans="1:6" s="27" customFormat="1" hidden="1" outlineLevel="1" x14ac:dyDescent="0.25">
      <c r="A195" s="22"/>
      <c r="B195" s="126" t="s">
        <v>58</v>
      </c>
      <c r="C195" s="126" t="s">
        <v>59</v>
      </c>
      <c r="D195" s="126" t="s">
        <v>60</v>
      </c>
      <c r="E195" s="126" t="s">
        <v>61</v>
      </c>
      <c r="F195" s="22"/>
    </row>
    <row r="196" spans="1:6" s="27" customFormat="1" hidden="1" outlineLevel="1" x14ac:dyDescent="0.25">
      <c r="A196" s="22"/>
      <c r="B196" s="7" t="s">
        <v>177</v>
      </c>
      <c r="C196" s="8" t="s">
        <v>21</v>
      </c>
      <c r="D196" s="127" t="s">
        <v>186</v>
      </c>
      <c r="E196" s="127">
        <v>0</v>
      </c>
      <c r="F196" s="22"/>
    </row>
    <row r="197" spans="1:6" s="27" customFormat="1" hidden="1" outlineLevel="1" x14ac:dyDescent="0.25">
      <c r="A197" s="22"/>
      <c r="B197" s="7" t="s">
        <v>178</v>
      </c>
      <c r="C197" s="8" t="s">
        <v>19</v>
      </c>
      <c r="D197" s="127" t="s">
        <v>186</v>
      </c>
      <c r="E197" s="127">
        <v>0</v>
      </c>
      <c r="F197" s="22"/>
    </row>
    <row r="198" spans="1:6" ht="13.8" hidden="1" x14ac:dyDescent="0.3">
      <c r="A198" s="14"/>
      <c r="B198" s="127" t="s">
        <v>179</v>
      </c>
      <c r="C198" s="128" t="s">
        <v>21</v>
      </c>
      <c r="D198" s="127" t="s">
        <v>183</v>
      </c>
      <c r="E198" s="128">
        <v>1</v>
      </c>
      <c r="F198" s="14"/>
    </row>
    <row r="199" spans="1:6" ht="13.8" hidden="1" x14ac:dyDescent="0.3">
      <c r="A199" s="14"/>
      <c r="B199" s="127" t="s">
        <v>180</v>
      </c>
      <c r="C199" s="128" t="s">
        <v>21</v>
      </c>
      <c r="D199" s="127" t="s">
        <v>183</v>
      </c>
      <c r="E199" s="128">
        <v>1</v>
      </c>
      <c r="F199" s="14"/>
    </row>
    <row r="200" spans="1:6" ht="13.8" hidden="1" x14ac:dyDescent="0.3">
      <c r="A200" s="14"/>
      <c r="B200" s="127" t="s">
        <v>181</v>
      </c>
      <c r="C200" s="128" t="s">
        <v>19</v>
      </c>
      <c r="D200" s="127" t="s">
        <v>183</v>
      </c>
      <c r="E200" s="128">
        <v>1</v>
      </c>
      <c r="F200" s="14"/>
    </row>
    <row r="201" spans="1:6" ht="13.8" hidden="1" x14ac:dyDescent="0.3">
      <c r="A201" s="14"/>
      <c r="B201" s="127" t="s">
        <v>182</v>
      </c>
      <c r="C201" s="128" t="s">
        <v>19</v>
      </c>
      <c r="D201" s="127" t="s">
        <v>183</v>
      </c>
      <c r="E201" s="128">
        <v>1</v>
      </c>
      <c r="F201" s="14"/>
    </row>
    <row r="202" spans="1:6" hidden="1" x14ac:dyDescent="0.25"/>
    <row r="203" spans="1:6" hidden="1" x14ac:dyDescent="0.25"/>
    <row r="204" spans="1:6" hidden="1" x14ac:dyDescent="0.25"/>
    <row r="205" spans="1:6" hidden="1" x14ac:dyDescent="0.25"/>
    <row r="206" spans="1:6" hidden="1" x14ac:dyDescent="0.25"/>
    <row r="207" spans="1:6" hidden="1" x14ac:dyDescent="0.25"/>
    <row r="208" spans="1:6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</sheetData>
  <sheetProtection algorithmName="SHA-512" hashValue="7NwaQOUW/iRBEE4xzBg2hZoFe+dIhAoJo5MoGKhDOKXkGzVKyHYPhBVzjiQfKXdumO/0jAJi5A42GswmVN9pmA==" saltValue="MGpq5QasEyZaoy4Y8EVDHg==" spinCount="100000" sheet="1" selectLockedCells="1"/>
  <protectedRanges>
    <protectedRange sqref="B29:D41" name="Range3"/>
    <protectedRange sqref="B13:B25" name="Range2"/>
    <protectedRange sqref="B8:B9" name="Range1"/>
  </protectedRanges>
  <customSheetViews>
    <customSheetView guid="{E41257D4-1C6D-4565-9093-7381ACF1CC6C}" scale="85" outlineSymbols="0" fitToPage="1" hiddenColumns="1" topLeftCell="A7">
      <selection activeCell="D21" sqref="D21"/>
      <pageMargins left="0.74803149606299213" right="0.74803149606299213" top="0.98425196850393704" bottom="0.98425196850393704" header="0.51181102362204722" footer="0.51181102362204722"/>
      <pageSetup paperSize="9" scale="46" orientation="landscape" horizontalDpi="300" verticalDpi="300" r:id="rId1"/>
      <headerFooter alignWithMargins="0"/>
    </customSheetView>
    <customSheetView guid="{39C96C24-7A5F-4ECF-8D06-89B34D5E48BC}" scale="82" outlineSymbols="0" fitToPage="1" hiddenColumns="1">
      <selection activeCell="B25" sqref="B25"/>
      <pageMargins left="0.74803149606299213" right="0.74803149606299213" top="0.98425196850393704" bottom="0.98425196850393704" header="0.51181102362204722" footer="0.51181102362204722"/>
      <pageSetup paperSize="9" scale="46" orientation="landscape" horizontalDpi="300" verticalDpi="300" r:id="rId2"/>
      <headerFooter alignWithMargins="0"/>
    </customSheetView>
  </customSheetViews>
  <mergeCells count="2">
    <mergeCell ref="L25:L26"/>
    <mergeCell ref="E11:E12"/>
  </mergeCells>
  <phoneticPr fontId="3" type="noConversion"/>
  <conditionalFormatting sqref="C13:C25">
    <cfRule type="cellIs" dxfId="11" priority="42" operator="equal">
      <formula>$A$192</formula>
    </cfRule>
    <cfRule type="cellIs" dxfId="10" priority="43" operator="equal">
      <formula>$A$193</formula>
    </cfRule>
    <cfRule type="cellIs" dxfId="9" priority="44" operator="equal">
      <formula>$A$191</formula>
    </cfRule>
  </conditionalFormatting>
  <conditionalFormatting sqref="D189:D190">
    <cfRule type="cellIs" dxfId="8" priority="1" operator="equal">
      <formula>"0 m  "</formula>
    </cfRule>
    <cfRule type="cellIs" dxfId="7" priority="2" operator="equal">
      <formula>"0 kW"</formula>
    </cfRule>
    <cfRule type="cellIs" dxfId="6" priority="3" operator="equal">
      <formula>"0 m"</formula>
    </cfRule>
  </conditionalFormatting>
  <conditionalFormatting sqref="E11:E25">
    <cfRule type="notContainsBlanks" dxfId="5" priority="4">
      <formula>LEN(TRIM(E11))&gt;0</formula>
    </cfRule>
  </conditionalFormatting>
  <conditionalFormatting sqref="E7:L10 F11:L23">
    <cfRule type="cellIs" dxfId="4" priority="19" operator="equal">
      <formula>"0 m  "</formula>
    </cfRule>
    <cfRule type="cellIs" dxfId="3" priority="21" operator="equal">
      <formula>"0 kW"</formula>
    </cfRule>
    <cfRule type="cellIs" dxfId="2" priority="22" operator="equal">
      <formula>"0 m"</formula>
    </cfRule>
  </conditionalFormatting>
  <conditionalFormatting sqref="L29:L41">
    <cfRule type="cellIs" dxfId="0" priority="7" stopIfTrue="1" operator="greaterThan">
      <formula>15</formula>
    </cfRule>
  </conditionalFormatting>
  <dataValidations count="3">
    <dataValidation type="list" allowBlank="1" showDropDown="1" showInputMessage="1" showErrorMessage="1" sqref="D9" xr:uid="{00000000-0002-0000-0000-000001000000}">
      <formula1>#REF!</formula1>
    </dataValidation>
    <dataValidation type="list" allowBlank="1" showInputMessage="1" showErrorMessage="1" sqref="B29:B41" xr:uid="{00000000-0002-0000-0000-000002000000}">
      <formula1>$B$65:$B$148</formula1>
    </dataValidation>
    <dataValidation type="list" allowBlank="1" showInputMessage="1" showErrorMessage="1" sqref="B8" xr:uid="{AE168946-002D-470B-8814-F0090AC5FFB1}">
      <formula1>$B$196:$B$201</formula1>
    </dataValidation>
  </dataValidations>
  <pageMargins left="0.25" right="0.25" top="0.75" bottom="0.75" header="0.3" footer="0.3"/>
  <pageSetup paperSize="9" scale="68" orientation="landscape" r:id="rId3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id="{59333405-1727-43F5-847F-DA9613EC0632}">
            <xm:f>NOT(ISERROR(SEARCH($A$194,L25)))</xm:f>
            <xm:f>$A$194</xm:f>
            <x14:dxf>
              <font>
                <color theme="1"/>
              </font>
              <fill>
                <patternFill>
                  <bgColor rgb="FFFF5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L25:L26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3228F-D5A6-4E7C-83FF-9307245A8682}">
  <sheetPr>
    <tabColor rgb="FF00B050"/>
    <pageSetUpPr fitToPage="1"/>
  </sheetPr>
  <dimension ref="A1"/>
  <sheetViews>
    <sheetView showGridLines="0" showRowColHeaders="0" workbookViewId="0">
      <selection sqref="A1:X74"/>
    </sheetView>
  </sheetViews>
  <sheetFormatPr defaultColWidth="9.109375" defaultRowHeight="13.2" x14ac:dyDescent="0.25"/>
  <cols>
    <col min="1" max="16384" width="9.109375" style="13"/>
  </cols>
  <sheetData/>
  <sheetProtection algorithmName="SHA-512" hashValue="WVCw5M8PaPP2/uvrJ3VBPFjftdtyWKxnK7/0heXmfC7r/QYHrpIePqWUSYgkJWjfLzqVWXF+yIXUd1RDmdb61g==" saltValue="w37p6eHUFa4/Smhk3LLxTA==" spinCount="100000" sheet="1" objects="1" scenarios="1" selectLockedCells="1"/>
  <pageMargins left="0.7" right="0.7" top="0.75" bottom="0.75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Controleberekening</vt:lpstr>
      <vt:lpstr>----------  VOORBEELD ---------</vt:lpstr>
      <vt:lpstr>'----------  VOORBEELD ---------'!Afdrukbereik</vt:lpstr>
      <vt:lpstr>Controleberekening!Afdrukbereik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Computers International</dc:creator>
  <cp:lastModifiedBy>Anne van Laere</cp:lastModifiedBy>
  <cp:lastPrinted>2020-09-07T09:52:04Z</cp:lastPrinted>
  <dcterms:created xsi:type="dcterms:W3CDTF">2006-04-11T13:33:03Z</dcterms:created>
  <dcterms:modified xsi:type="dcterms:W3CDTF">2023-04-18T13:31:29Z</dcterms:modified>
</cp:coreProperties>
</file>